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7bab5dbfddc424a" /></Relationships>
</file>

<file path=xl/workbook.xml><?xml version="1.0" encoding="utf-8"?>
<x:workbook xmlns:x="http://schemas.openxmlformats.org/spreadsheetml/2006/main">
  <x:sheets>
    <x:sheet xmlns:r="http://schemas.openxmlformats.org/officeDocument/2006/relationships" name="Summary" sheetId="1" r:id="R8353a69a60034fc8"/>
    <x:sheet xmlns:r="http://schemas.openxmlformats.org/officeDocument/2006/relationships" name="Games" sheetId="2" r:id="R6ac547024bf84d4e"/>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164" formatCode="$#,##0.00"/>
    <x:numFmt numFmtId="165" formatCode="$#,##0"/>
  </x:numFmts>
  <x:fonts count="5">
    <x:font>
      <x:sz val="11"/>
      <x:color theme="1"/>
      <x:name val="Calibri"/>
      <x:family val="2"/>
      <x:scheme val="minor"/>
    </x:font>
    <x:font>
      <x:b/>
      <x:sz val="10"/>
      <x:color rgb="FFFFFFFF"/>
      <x:name val="Arial"/>
    </x:font>
    <x:font>
      <x:sz val="10"/>
      <x:name val="Arial"/>
    </x:font>
    <x:font>
      <x:u val="single"/>
      <x:sz val="10"/>
      <x:color rgb="FF0563C1"/>
      <x:name val="Arial"/>
    </x:font>
    <x:font>
      <x:b/>
      <x:sz val="10"/>
      <x:name val="Arial"/>
    </x:font>
  </x:fonts>
  <x:fills count="6">
    <x:fill>
      <x:patternFill patternType="none"/>
    </x:fill>
    <x:fill>
      <x:patternFill patternType="gray125"/>
    </x:fill>
    <x:fill>
      <x:patternFill patternType="solid">
        <x:fgColor rgb="FF1F3864"/>
      </x:patternFill>
    </x:fill>
    <x:fill>
      <x:patternFill patternType="solid">
        <x:fgColor rgb="FF375623"/>
      </x:patternFill>
    </x:fill>
    <x:fill>
      <x:patternFill patternType="solid">
        <x:fgColor rgb="FF7F6000"/>
      </x:patternFill>
    </x:fill>
    <x:fill>
      <x:patternFill patternType="solid">
        <x:fgColor rgb="FFFFF2CC"/>
      </x:patternFill>
    </x:fill>
  </x:fills>
  <x:borders count="2">
    <x:border>
      <x:left/>
      <x:right/>
      <x:top/>
      <x:bottom/>
      <x:diagonal/>
    </x:border>
    <x:border>
      <x:left style="thin">
        <x:color rgb="FFBFBFBF"/>
      </x:left>
      <x:right style="thin">
        <x:color rgb="FFBFBFBF"/>
      </x:right>
      <x:top style="thin">
        <x:color rgb="FFBFBFBF"/>
      </x:top>
      <x:bottom style="thin">
        <x:color rgb="FFBFBFBF"/>
      </x:bottom>
    </x:border>
  </x:borders>
  <x:cellStyleXfs count="1">
    <x:xf numFmtId="0" fontId="0" fillId="0" borderId="0"/>
  </x:cellStyleXfs>
  <x:cellXfs count="13">
    <x:xf numFmtId="0" fontId="0" fillId="0" borderId="0" xfId="0"/>
    <x:xf numFmtId="0" fontId="4" fillId="0" borderId="0" xfId="0"/>
    <x:xf numFmtId="0" fontId="1" fillId="2" borderId="0" xfId="0"/>
    <x:xf numFmtId="0" fontId="2" fillId="0" borderId="0" xfId="0"/>
    <x:xf numFmtId="165" fontId="0" fillId="0" borderId="0" xfId="0"/>
    <x:xf numFmtId="165" fontId="4" fillId="0" borderId="0" xfId="0"/>
    <x:xf numFmtId="0" fontId="1" fillId="2" borderId="1" xfId="0" applyAlignment="1">
      <x:alignment horizontal="center" vertical="center" wrapText="1"/>
    </x:xf>
    <x:xf numFmtId="0" fontId="1" fillId="3" borderId="1" xfId="0" applyAlignment="1">
      <x:alignment horizontal="center" vertical="center" wrapText="1"/>
    </x:xf>
    <x:xf numFmtId="0" fontId="1" fillId="4" borderId="1" xfId="0" applyAlignment="1">
      <x:alignment horizontal="center" vertical="center" wrapText="1"/>
    </x:xf>
    <x:xf numFmtId="0" fontId="2" fillId="0" borderId="1" xfId="0" applyAlignment="1">
      <x:alignment vertical="top" wrapText="1"/>
    </x:xf>
    <x:xf numFmtId="164" fontId="2" fillId="0" borderId="1" xfId="0" applyAlignment="1">
      <x:alignment vertical="top" wrapText="1"/>
    </x:xf>
    <x:xf numFmtId="0" fontId="3" fillId="0" borderId="1" xfId="0" applyAlignment="1">
      <x:alignment vertical="top" wrapText="1"/>
    </x:xf>
    <x:xf numFmtId="0" fontId="2" fillId="5" borderId="1" xfId="0" applyAlignment="1">
      <x:alignment vertical="top" wrapText="1"/>
    </x:xf>
  </x:cellXfs>
  <x:cellStyles count="1">
    <x:cellStyle name="Normal" xfId="0"/>
  </x:cellStyles>
  <x:dxfs count="2">
    <x:dxf>
      <x:fill>
        <x:patternFill>
          <x:bgColor rgb="00FFC7CE"/>
        </x:patternFill>
      </x:fill>
    </x:dxf>
    <x:dxf>
      <x:fill>
        <x:patternFill>
          <x:bgColor rgb="00C6EFCE"/>
        </x:patternFill>
      </x:fill>
    </x:dxf>
  </x:dxf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95db084931184c2e" /><Relationship Type="http://schemas.openxmlformats.org/officeDocument/2006/relationships/theme" Target="/xl/theme/theme1.xml" Id="Rdc66f30aebd24860" /><Relationship Type="http://schemas.openxmlformats.org/officeDocument/2006/relationships/sharedStrings" Target="/xl/sharedStrings.xml" Id="R1b3f4dd5e88648e1" /><Relationship Type="http://schemas.openxmlformats.org/officeDocument/2006/relationships/worksheet" Target="/xl/worksheets/sheet1.xml" Id="R8353a69a60034fc8" /><Relationship Type="http://schemas.openxmlformats.org/officeDocument/2006/relationships/worksheet" Target="/xl/worksheets/sheet2.xml" Id="R6ac547024bf84d4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FormatPr baseColWidth="8" defaultRowHeight="15"/>
  <x:cols>
    <x:col min="1" max="1" width="34" customWidth="1"/>
    <x:col min="2" max="2" width="14" customWidth="1"/>
    <x:col min="3" max="3" width="14" customWidth="1"/>
    <x:col min="4" max="4" width="14" customWidth="1"/>
    <x:col min="5" max="5" width="14" customWidth="1"/>
  </x:cols>
  <x:sheetData>
    <x:row r="1">
      <x:c r="A1" s="1" t="inlineStr">
        <x:is>
          <x:t xml:space="preserve">FMV Games Index — Summary</x:t>
        </x:is>
      </x:c>
    </x:row>
    <x:row r="3">
      <x:c r="A3" s="2" t="inlineStr">
        <x:is>
          <x:t xml:space="preserve">System</x:t>
        </x:is>
      </x:c>
      <x:c r="B3" s="2" t="inlineStr">
        <x:is>
          <x:t xml:space="preserve">Titles</x:t>
        </x:is>
      </x:c>
      <x:c r="C3" s="2" t="inlineStr">
        <x:is>
          <x:t xml:space="preserve">Obtainable</x:t>
        </x:is>
      </x:c>
      <x:c r="D3" s="2" t="inlineStr">
        <x:is>
          <x:t xml:space="preserve">Owned</x:t>
        </x:is>
      </x:c>
      <x:c r="E3" s="2" t="inlineStr">
        <x:is>
          <x:t xml:space="preserve">Cost to complete (CIB $)</x:t>
        </x:is>
      </x:c>
    </x:row>
    <x:row r="4">
      <x:c r="A4" s="3" t="inlineStr">
        <x:is>
          <x:t xml:space="preserve">Sega CD</x:t>
        </x:is>
      </x:c>
      <x:c r="B4" t="n">
        <x:f>COUNTIF(Games!C2:C1092,A4)</x:f>
        <x:v>80</x:v>
      </x:c>
      <x:c r="C4" t="n">
        <x:f>COUNTIFS(Games!C2:C1092,A4,Games!Q2:Q1092,"&lt;&gt;NOT obtainable")</x:f>
        <x:v>79</x:v>
      </x:c>
      <x:c r="D4" t="n">
        <x:f>COUNTIFS(Games!C2:C1092,A4,Games!BI2:BI1092,"Yes")</x:f>
        <x:v>4</x:v>
      </x:c>
      <x:c r="E4" s="4" t="n">
        <x:f>SUMIFS(Games!AM2:AM1092,Games!C2:C1092,A4,Games!BI2:BI1092,"No",Games!Q2:Q1092,"&lt;&gt;NOT obtainable")</x:f>
        <x:v>3861.4299999999985</x:v>
      </x:c>
    </x:row>
    <x:row r="5">
      <x:c r="A5" s="3" t="inlineStr">
        <x:is>
          <x:t xml:space="preserve">3DO</x:t>
        </x:is>
      </x:c>
      <x:c r="B5" t="n">
        <x:f>COUNTIF(Games!C2:C1092,A5)</x:f>
        <x:v>79</x:v>
      </x:c>
      <x:c r="C5" t="n">
        <x:f>COUNTIFS(Games!C2:C1092,A5,Games!Q2:Q1092,"&lt;&gt;NOT obtainable")</x:f>
        <x:v>79</x:v>
      </x:c>
      <x:c r="D5" t="n">
        <x:f>COUNTIFS(Games!C2:C1092,A5,Games!BI2:BI1092,"Yes")</x:f>
        <x:v>0</x:v>
      </x:c>
      <x:c r="E5" s="4" t="n">
        <x:f>SUMIFS(Games!AM2:AM1092,Games!C2:C1092,A5,Games!BI2:BI1092,"No",Games!Q2:Q1092,"&lt;&gt;NOT obtainable")</x:f>
        <x:v>4718.539999999999</x:v>
      </x:c>
    </x:row>
    <x:row r="6">
      <x:c r="A6" s="3" t="inlineStr">
        <x:is>
          <x:t xml:space="preserve">Philips CD-i</x:t>
        </x:is>
      </x:c>
      <x:c r="B6" t="n">
        <x:f>COUNTIF(Games!C2:C1092,A6)</x:f>
        <x:v>68</x:v>
      </x:c>
      <x:c r="C6" t="n">
        <x:f>COUNTIFS(Games!C2:C1092,A6,Games!Q2:Q1092,"&lt;&gt;NOT obtainable")</x:f>
        <x:v>68</x:v>
      </x:c>
      <x:c r="D6" t="n">
        <x:f>COUNTIFS(Games!C2:C1092,A6,Games!BI2:BI1092,"Yes")</x:f>
        <x:v>0</x:v>
      </x:c>
      <x:c r="E6" s="4" t="n">
        <x:f>SUMIFS(Games!AM2:AM1092,Games!C2:C1092,A6,Games!BI2:BI1092,"No",Games!Q2:Q1092,"&lt;&gt;NOT obtainable")</x:f>
        <x:v>4889.34</x:v>
      </x:c>
    </x:row>
    <x:row r="7">
      <x:c r="A7" s="3" t="inlineStr">
        <x:is>
          <x:t xml:space="preserve">PlayStation</x:t>
        </x:is>
      </x:c>
      <x:c r="B7" t="n">
        <x:f>COUNTIF(Games!C2:C1092,A7)</x:f>
        <x:v>118</x:v>
      </x:c>
      <x:c r="C7" t="n">
        <x:f>COUNTIFS(Games!C2:C1092,A7,Games!Q2:Q1092,"&lt;&gt;NOT obtainable")</x:f>
        <x:v>118</x:v>
      </x:c>
      <x:c r="D7" t="n">
        <x:f>COUNTIFS(Games!C2:C1092,A7,Games!BI2:BI1092,"Yes")</x:f>
        <x:v>0</x:v>
      </x:c>
      <x:c r="E7" s="4" t="n">
        <x:f>SUMIFS(Games!AM2:AM1092,Games!C2:C1092,A7,Games!BI2:BI1092,"No",Games!Q2:Q1092,"&lt;&gt;NOT obtainable")</x:f>
        <x:v>5429.559999999998</x:v>
      </x:c>
    </x:row>
    <x:row r="8">
      <x:c r="A8" s="3" t="inlineStr">
        <x:is>
          <x:t xml:space="preserve">Sega Saturn</x:t>
        </x:is>
      </x:c>
      <x:c r="B8" t="n">
        <x:f>COUNTIF(Games!C2:C1092,A8)</x:f>
        <x:v>83</x:v>
      </x:c>
      <x:c r="C8" t="n">
        <x:f>COUNTIFS(Games!C2:C1092,A8,Games!Q2:Q1092,"&lt;&gt;NOT obtainable")</x:f>
        <x:v>83</x:v>
      </x:c>
      <x:c r="D8" t="n">
        <x:f>COUNTIFS(Games!C2:C1092,A8,Games!BI2:BI1092,"Yes")</x:f>
        <x:v>0</x:v>
      </x:c>
      <x:c r="E8" s="4" t="n">
        <x:f>SUMIFS(Games!AM2:AM1092,Games!C2:C1092,A8,Games!BI2:BI1092,"No",Games!Q2:Q1092,"&lt;&gt;NOT obtainable")</x:f>
        <x:v>7228.819999999999</x:v>
      </x:c>
    </x:row>
    <x:row r="9">
      <x:c r="A9" s="3" t="inlineStr">
        <x:is>
          <x:t xml:space="preserve">Laserdisc arcade</x:t>
        </x:is>
      </x:c>
      <x:c r="B9" t="n">
        <x:f>COUNTIF(Games!C2:C1092,A9)</x:f>
        <x:v>55</x:v>
      </x:c>
      <x:c r="C9" t="n">
        <x:f>COUNTIFS(Games!C2:C1092,A9,Games!Q2:Q1092,"&lt;&gt;NOT obtainable")</x:f>
        <x:v>38</x:v>
      </x:c>
      <x:c r="D9" t="n">
        <x:f>COUNTIFS(Games!C2:C1092,A9,Games!BI2:BI1092,"Yes")</x:f>
        <x:v>0</x:v>
      </x:c>
      <x:c r="E9" s="4" t="n">
        <x:f>SUMIFS(Games!AM2:AM1092,Games!C2:C1092,A9,Games!BI2:BI1092,"No",Games!Q2:Q1092,"&lt;&gt;NOT obtainable")</x:f>
        <x:v>0</x:v>
      </x:c>
    </x:row>
    <x:row r="10">
      <x:c r="A10" s="3" t="inlineStr">
        <x:is>
          <x:t xml:space="preserve">Pioneer LaserActive</x:t>
        </x:is>
      </x:c>
      <x:c r="B10" t="n">
        <x:f>COUNTIF(Games!C2:C1092,A10)</x:f>
        <x:v>21</x:v>
      </x:c>
      <x:c r="C10" t="n">
        <x:f>COUNTIFS(Games!C2:C1092,A10,Games!Q2:Q1092,"&lt;&gt;NOT obtainable")</x:f>
        <x:v>20</x:v>
      </x:c>
      <x:c r="D10" t="n">
        <x:f>COUNTIFS(Games!C2:C1092,A10,Games!BI2:BI1092,"Yes")</x:f>
        <x:v>0</x:v>
      </x:c>
      <x:c r="E10" s="4" t="n">
        <x:f>SUMIFS(Games!AM2:AM1092,Games!C2:C1092,A10,Games!BI2:BI1092,"No",Games!Q2:Q1092,"&lt;&gt;NOT obtainable")</x:f>
        <x:v>12016.67</x:v>
      </x:c>
    </x:row>
    <x:row r="11">
      <x:c r="A11" s="3" t="inlineStr">
        <x:is>
          <x:t xml:space="preserve">Atari Jaguar CD</x:t>
        </x:is>
      </x:c>
      <x:c r="B11" t="n">
        <x:f>COUNTIF(Games!C2:C1092,A11)</x:f>
        <x:v>19</x:v>
      </x:c>
      <x:c r="C11" t="n">
        <x:f>COUNTIFS(Games!C2:C1092,A11,Games!Q2:Q1092,"&lt;&gt;NOT obtainable")</x:f>
        <x:v>17</x:v>
      </x:c>
      <x:c r="D11" t="n">
        <x:f>COUNTIFS(Games!C2:C1092,A11,Games!BI2:BI1092,"Yes")</x:f>
        <x:v>0</x:v>
      </x:c>
      <x:c r="E11" s="4" t="n">
        <x:f>SUMIFS(Games!AM2:AM1092,Games!C2:C1092,A11,Games!BI2:BI1092,"No",Games!Q2:Q1092,"&lt;&gt;NOT obtainable")</x:f>
        <x:v>1523.17</x:v>
      </x:c>
    </x:row>
    <x:row r="12">
      <x:c r="A12" s="3" t="inlineStr">
        <x:is>
          <x:t xml:space="preserve">NEC PC-FX</x:t>
        </x:is>
      </x:c>
      <x:c r="B12" t="n">
        <x:f>COUNTIF(Games!C2:C1092,A12)</x:f>
        <x:v>30</x:v>
      </x:c>
      <x:c r="C12" t="n">
        <x:f>COUNTIFS(Games!C2:C1092,A12,Games!Q2:Q1092,"&lt;&gt;NOT obtainable")</x:f>
        <x:v>30</x:v>
      </x:c>
      <x:c r="D12" t="n">
        <x:f>COUNTIFS(Games!C2:C1092,A12,Games!BI2:BI1092,"Yes")</x:f>
        <x:v>0</x:v>
      </x:c>
      <x:c r="E12" s="4" t="n">
        <x:f>SUMIFS(Games!AM2:AM1092,Games!C2:C1092,A12,Games!BI2:BI1092,"No",Games!Q2:Q1092,"&lt;&gt;NOT obtainable")</x:f>
        <x:v>5159.0999999999985</x:v>
      </x:c>
    </x:row>
    <x:row r="13">
      <x:c r="A13" s="3" t="inlineStr">
        <x:is>
          <x:t xml:space="preserve">Apple Bandai Pippin</x:t>
        </x:is>
      </x:c>
      <x:c r="B13" t="n">
        <x:f>COUNTIF(Games!C2:C1092,A13)</x:f>
        <x:v>10</x:v>
      </x:c>
      <x:c r="C13" t="n">
        <x:f>COUNTIFS(Games!C2:C1092,A13,Games!Q2:Q1092,"&lt;&gt;NOT obtainable")</x:f>
        <x:v>10</x:v>
      </x:c>
      <x:c r="D13" t="n">
        <x:f>COUNTIFS(Games!C2:C1092,A13,Games!BI2:BI1092,"Yes")</x:f>
        <x:v>0</x:v>
      </x:c>
      <x:c r="E13" s="4" t="n">
        <x:f>SUMIFS(Games!AM2:AM1092,Games!C2:C1092,A13,Games!BI2:BI1092,"No",Games!Q2:Q1092,"&lt;&gt;NOT obtainable")</x:f>
        <x:v>1346.23</x:v>
      </x:c>
    </x:row>
    <x:row r="14">
      <x:c r="A14" s="3" t="inlineStr">
        <x:is>
          <x:t xml:space="preserve">PC</x:t>
        </x:is>
      </x:c>
      <x:c r="B14" t="n">
        <x:f>COUNTIF(Games!C2:C1092,A14)</x:f>
        <x:v>351</x:v>
      </x:c>
      <x:c r="C14" t="n">
        <x:f>COUNTIFS(Games!C2:C1092,A14,Games!Q2:Q1092,"&lt;&gt;NOT obtainable")</x:f>
        <x:v>351</x:v>
      </x:c>
      <x:c r="D14" t="n">
        <x:f>COUNTIFS(Games!C2:C1092,A14,Games!BI2:BI1092,"Yes")</x:f>
        <x:v>0</x:v>
      </x:c>
      <x:c r="E14" s="4" t="n">
        <x:f>SUMIFS(Games!AM2:AM1092,Games!C2:C1092,A14,Games!BI2:BI1092,"No",Games!Q2:Q1092,"&lt;&gt;NOT obtainable")</x:f>
        <x:v>4889.989999999996</x:v>
      </x:c>
    </x:row>
    <x:row r="15">
      <x:c r="A15" s="3" t="inlineStr">
        <x:is>
          <x:t xml:space="preserve">Macintosh</x:t>
        </x:is>
      </x:c>
      <x:c r="B15" t="n">
        <x:f>COUNTIF(Games!C2:C1092,A15)</x:f>
        <x:v>90</x:v>
      </x:c>
      <x:c r="C15" t="n">
        <x:f>COUNTIFS(Games!C2:C1092,A15,Games!Q2:Q1092,"&lt;&gt;NOT obtainable")</x:f>
        <x:v>90</x:v>
      </x:c>
      <x:c r="D15" t="n">
        <x:f>COUNTIFS(Games!C2:C1092,A15,Games!BI2:BI1092,"Yes")</x:f>
        <x:v>0</x:v>
      </x:c>
      <x:c r="E15" s="4" t="n">
        <x:f>SUMIFS(Games!AM2:AM1092,Games!C2:C1092,A15,Games!BI2:BI1092,"No",Games!Q2:Q1092,"&lt;&gt;NOT obtainable")</x:f>
        <x:v>412.06</x:v>
      </x:c>
    </x:row>
    <x:row r="16">
      <x:c r="A16" s="3" t="inlineStr">
        <x:is>
          <x:t xml:space="preserve">Amiga CD32</x:t>
        </x:is>
      </x:c>
      <x:c r="B16" t="n">
        <x:f>COUNTIF(Games!C2:C1092,A16)</x:f>
        <x:v>17</x:v>
      </x:c>
      <x:c r="C16" t="n">
        <x:f>COUNTIFS(Games!C2:C1092,A16,Games!Q2:Q1092,"&lt;&gt;NOT obtainable")</x:f>
        <x:v>17</x:v>
      </x:c>
      <x:c r="D16" t="n">
        <x:f>COUNTIFS(Games!C2:C1092,A16,Games!BI2:BI1092,"Yes")</x:f>
        <x:v>0</x:v>
      </x:c>
      <x:c r="E16" s="4" t="n">
        <x:f>SUMIFS(Games!AM2:AM1092,Games!C2:C1092,A16,Games!BI2:BI1092,"No",Games!Q2:Q1092,"&lt;&gt;NOT obtainable")</x:f>
        <x:v>1532.9600000000003</x:v>
      </x:c>
    </x:row>
    <x:row r="17">
      <x:c r="A17" s="3" t="inlineStr">
        <x:is>
          <x:t xml:space="preserve">DVD</x:t>
        </x:is>
      </x:c>
      <x:c r="B17" t="n">
        <x:f>COUNTIF(Games!C2:C1092,A17)</x:f>
        <x:v>27</x:v>
      </x:c>
      <x:c r="C17" t="n">
        <x:f>COUNTIFS(Games!C2:C1092,A17,Games!Q2:Q1092,"&lt;&gt;NOT obtainable")</x:f>
        <x:v>27</x:v>
      </x:c>
      <x:c r="D17" t="n">
        <x:f>COUNTIFS(Games!C2:C1092,A17,Games!BI2:BI1092,"Yes")</x:f>
        <x:v>0</x:v>
      </x:c>
      <x:c r="E17" s="4" t="n">
        <x:f>SUMIFS(Games!AM2:AM1092,Games!C2:C1092,A17,Games!BI2:BI1092,"No",Games!Q2:Q1092,"&lt;&gt;NOT obtainable")</x:f>
        <x:v>0</x:v>
      </x:c>
    </x:row>
    <x:row r="18">
      <x:c r="A18" s="3" t="inlineStr">
        <x:is>
          <x:t xml:space="preserve">TurboGrafx-CD</x:t>
        </x:is>
      </x:c>
      <x:c r="B18" t="n">
        <x:f>COUNTIF(Games!C2:C1092,A18)</x:f>
        <x:v>4</x:v>
      </x:c>
      <x:c r="C18" t="n">
        <x:f>COUNTIFS(Games!C2:C1092,A18,Games!Q2:Q1092,"&lt;&gt;NOT obtainable")</x:f>
        <x:v>4</x:v>
      </x:c>
      <x:c r="D18" t="n">
        <x:f>COUNTIFS(Games!C2:C1092,A18,Games!BI2:BI1092,"Yes")</x:f>
        <x:v>0</x:v>
      </x:c>
      <x:c r="E18" s="4" t="n">
        <x:f>SUMIFS(Games!AM2:AM1092,Games!C2:C1092,A18,Games!BI2:BI1092,"No",Games!Q2:Q1092,"&lt;&gt;NOT obtainable")</x:f>
        <x:v>318.12</x:v>
      </x:c>
    </x:row>
    <x:row r="19">
      <x:c r="A19" s="3" t="inlineStr">
        <x:is>
          <x:t xml:space="preserve">Bandai Playdia</x:t>
        </x:is>
      </x:c>
      <x:c r="B19" t="n">
        <x:f>COUNTIF(Games!C2:C1092,A19)</x:f>
        <x:v>33</x:v>
      </x:c>
      <x:c r="C19" t="n">
        <x:f>COUNTIFS(Games!C2:C1092,A19,Games!Q2:Q1092,"&lt;&gt;NOT obtainable")</x:f>
        <x:v>33</x:v>
      </x:c>
      <x:c r="D19" t="n">
        <x:f>COUNTIFS(Games!C2:C1092,A19,Games!BI2:BI1092,"Yes")</x:f>
        <x:v>0</x:v>
      </x:c>
      <x:c r="E19" s="4" t="n">
        <x:f>SUMIFS(Games!AM2:AM1092,Games!C2:C1092,A19,Games!BI2:BI1092,"No",Games!Q2:Q1092,"&lt;&gt;NOT obtainable")</x:f>
        <x:v>0</x:v>
      </x:c>
    </x:row>
    <x:row r="20">
      <x:c r="A20" s="3" t="inlineStr">
        <x:is>
          <x:t xml:space="preserve">Later consoles</x:t>
        </x:is>
      </x:c>
      <x:c r="B20" t="n">
        <x:f>COUNTIF(Games!C2:C1092,A20)</x:f>
        <x:v>6</x:v>
      </x:c>
      <x:c r="C20" t="n">
        <x:f>COUNTIFS(Games!C2:C1092,A20,Games!Q2:Q1092,"&lt;&gt;NOT obtainable")</x:f>
        <x:v>6</x:v>
      </x:c>
      <x:c r="D20" t="n">
        <x:f>COUNTIFS(Games!C2:C1092,A20,Games!BI2:BI1092,"Yes")</x:f>
        <x:v>0</x:v>
      </x:c>
      <x:c r="E20" s="4" t="n">
        <x:f>SUMIFS(Games!AM2:AM1092,Games!C2:C1092,A20,Games!BI2:BI1092,"No",Games!Q2:Q1092,"&lt;&gt;NOT obtainable")</x:f>
        <x:v>221.3</x:v>
      </x:c>
    </x:row>
    <x:row r="21">
      <x:c r="A21" s="1" t="inlineStr">
        <x:is>
          <x:t xml:space="preserve">All systems</x:t>
        </x:is>
      </x:c>
      <x:c r="B21" s="1" t="n">
        <x:f>SUM(B4:B20)</x:f>
        <x:v>1091</x:v>
      </x:c>
      <x:c r="C21" s="1" t="n">
        <x:f>SUM(C4:C20)</x:f>
        <x:v>1070</x:v>
      </x:c>
      <x:c r="D21" s="1" t="n">
        <x:f>SUM(D4:D20)</x:f>
        <x:v>4</x:v>
      </x:c>
      <x:c r="E21" s="5" t="n">
        <x:f>SUM(E4:E20)</x:f>
        <x:v>53547.28999999999</x:v>
      </x:c>
    </x:row>
    <x:row r="23">
      <x:c r="A23" s="1" t="inlineStr">
        <x:is>
          <x:t xml:space="preserve">Category</x:t>
        </x:is>
      </x:c>
      <x:c r="B23" s="1" t="inlineStr">
        <x:is>
          <x:t xml:space="preserve">Titles</x:t>
        </x:is>
      </x:c>
    </x:row>
    <x:row r="24">
      <x:c r="A24" s="3" t="inlineStr">
        <x:is>
          <x:t xml:space="preserve">American Laser Games</x:t>
        </x:is>
      </x:c>
      <x:c r="B24" t="n">
        <x:f>COUNTIF(Games!P2:P1092,A24)</x:f>
        <x:v>41</x:v>
      </x:c>
    </x:row>
    <x:row r="25">
      <x:c r="A25" s="3" t="inlineStr">
        <x:is>
          <x:t xml:space="preserve">Cutscenes only</x:t>
        </x:is>
      </x:c>
      <x:c r="B25" t="n">
        <x:f>COUNTIF(Games!P2:P1092,A25)</x:f>
        <x:v>250</x:v>
      </x:c>
    </x:row>
    <x:row r="26">
      <x:c r="A26" s="3" t="inlineStr">
        <x:is>
          <x:t xml:space="preserve">Digital Pictures</x:t>
        </x:is>
      </x:c>
      <x:c r="B26" t="n">
        <x:f>COUNTIF(Games!P2:P1092,A26)</x:f>
        <x:v>29</x:v>
      </x:c>
    </x:row>
    <x:row r="27">
      <x:c r="A27" s="3" t="inlineStr">
        <x:is>
          <x:t xml:space="preserve">FMV adventure</x:t>
        </x:is>
      </x:c>
      <x:c r="B27" t="n">
        <x:f>COUNTIF(Games!P2:P1092,A27)</x:f>
        <x:v>222</x:v>
      </x:c>
    </x:row>
    <x:row r="28">
      <x:c r="A28" s="3" t="inlineStr">
        <x:is>
          <x:t xml:space="preserve">Game show / trivia</x:t>
        </x:is>
      </x:c>
      <x:c r="B28" t="n">
        <x:f>COUNTIF(Games!P2:P1092,A28)</x:f>
        <x:v>52</x:v>
      </x:c>
    </x:row>
    <x:row r="29">
      <x:c r="A29" s="3" t="inlineStr">
        <x:is>
          <x:t xml:space="preserve">Interactive movie</x:t>
        </x:is>
      </x:c>
      <x:c r="B29" t="n">
        <x:f>COUNTIF(Games!P2:P1092,A29)</x:f>
        <x:v>227</x:v>
      </x:c>
    </x:row>
    <x:row r="30">
      <x:c r="A30" s="3" t="inlineStr">
        <x:is>
          <x:t xml:space="preserve">Laserdisc arcade</x:t>
        </x:is>
      </x:c>
      <x:c r="B30" t="n">
        <x:f>COUNTIF(Games!P2:P1092,A30)</x:f>
        <x:v>38</x:v>
      </x:c>
    </x:row>
    <x:row r="31">
      <x:c r="A31" s="3" t="inlineStr">
        <x:is>
          <x:t xml:space="preserve">Laserdisc port</x:t>
        </x:is>
      </x:c>
      <x:c r="B31" t="n">
        <x:f>COUNTIF(Games!P2:P1092,A31)</x:f>
        <x:v>42</x:v>
      </x:c>
    </x:row>
    <x:row r="32">
      <x:c r="A32" s="3" t="inlineStr">
        <x:is>
          <x:t xml:space="preserve">Non-game video</x:t>
        </x:is>
      </x:c>
      <x:c r="B32" t="n">
        <x:f>COUNTIF(Games!P2:P1092,A32)</x:f>
        <x:v>14</x:v>
      </x:c>
    </x:row>
    <x:row r="33">
      <x:c r="A33" s="3" t="inlineStr">
        <x:is>
          <x:t xml:space="preserve">Post-cancellation release</x:t>
        </x:is>
      </x:c>
      <x:c r="B33" t="n">
        <x:f>COUNTIF(Games!P2:P1092,A33)</x:f>
        <x:v>6</x:v>
      </x:c>
    </x:row>
    <x:row r="34">
      <x:c r="A34" s="3" t="inlineStr">
        <x:is>
          <x:t xml:space="preserve">Pre-rendered CG</x:t>
        </x:is>
      </x:c>
      <x:c r="B34" t="n">
        <x:f>COUNTIF(Games!P2:P1092,A34)</x:f>
        <x:v>123</x:v>
      </x:c>
    </x:row>
    <x:row r="35">
      <x:c r="A35" s="3" t="inlineStr">
        <x:is>
          <x:t xml:space="preserve">Prototype</x:t>
        </x:is>
      </x:c>
      <x:c r="B35" t="n">
        <x:f>COUNTIF(Games!P2:P1092,A35)</x:f>
        <x:v>17</x:v>
      </x:c>
    </x:row>
    <x:row r="36">
      <x:c r="A36" s="3" t="inlineStr">
        <x:is>
          <x:t xml:space="preserve">Sega FMV</x:t>
        </x:is>
      </x:c>
      <x:c r="B36" t="n">
        <x:f>COUNTIF(Games!P2:P1092,A36)</x:f>
        <x:v>8</x:v>
      </x:c>
    </x:row>
    <x:row r="37">
      <x:c r="A37" s="3" t="inlineStr">
        <x:is>
          <x:t xml:space="preserve">Sports w/ FMV</x:t>
        </x:is>
      </x:c>
      <x:c r="B37" t="n">
        <x:f>COUNTIF(Games!P2:P1092,A37)</x:f>
        <x:v>22</x:v>
      </x:c>
    </x:row>
  </x:sheetData>
  <x:pageMargins left="0.7" right="0.7" top="0.75" bottom="0.75" header="0.3" footer="0.3"/>
</x:worksheet>
</file>

<file path=xl/worksheets/sheet2.xml><?xml version="1.0" encoding="utf-8"?>
<x:worksheet xmlns:x="http://schemas.openxmlformats.org/spreadsheetml/2006/main">
  <x:sheetViews>
    <x:sheetView workbookViewId="0">
      <x:pane xSplit="3" ySplit="1" topLeftCell="D2" activePane="bottomRight" state="frozen"/>
    </x:sheetView>
  </x:sheetViews>
  <x:sheetFormatPr baseColWidth="8" defaultRowHeight="15"/>
  <x:cols>
    <x:col min="1" max="1" width="11" customWidth="1"/>
    <x:col min="2" max="2" width="18" customWidth="1"/>
    <x:col min="3" max="3" width="18" customWidth="1"/>
    <x:col min="4" max="4" width="30" customWidth="1"/>
    <x:col min="5" max="5" width="18" customWidth="1"/>
    <x:col min="6" max="6" width="18" customWidth="1"/>
    <x:col min="7" max="7" width="18" customWidth="1"/>
    <x:col min="8" max="8" width="11" customWidth="1"/>
    <x:col min="9" max="9" width="11" customWidth="1"/>
    <x:col min="10" max="10" width="11" customWidth="1"/>
    <x:col min="11" max="11" width="11" customWidth="1"/>
    <x:col min="12" max="12" width="18" customWidth="1"/>
    <x:col min="13" max="13" width="18" customWidth="1"/>
    <x:col min="14" max="14" width="18" customWidth="1"/>
    <x:col min="15" max="15" width="11" customWidth="1"/>
    <x:col min="16" max="16" width="18" customWidth="1"/>
    <x:col min="17" max="17" width="18" customWidth="1"/>
    <x:col min="18" max="18" width="18" customWidth="1"/>
    <x:col min="19" max="19" width="18" customWidth="1"/>
    <x:col min="20" max="20" width="18" customWidth="1"/>
    <x:col min="21" max="21" width="11" customWidth="1"/>
    <x:col min="22" max="22" width="18" customWidth="1"/>
    <x:col min="23" max="23" width="18" customWidth="1"/>
    <x:col min="24" max="24" width="18" customWidth="1"/>
    <x:col min="25" max="25" width="18" customWidth="1"/>
    <x:col min="26" max="26" width="18" customWidth="1"/>
    <x:col min="27" max="27" width="30" customWidth="1"/>
    <x:col min="28" max="28" width="30" customWidth="1"/>
    <x:col min="29" max="29" width="18" customWidth="1"/>
    <x:col min="30" max="30" width="18" customWidth="1"/>
    <x:col min="31" max="31" width="18" customWidth="1"/>
    <x:col min="32" max="32" width="30" customWidth="1"/>
    <x:col min="33" max="33" width="18" customWidth="1"/>
    <x:col min="34" max="34" width="18" customWidth="1"/>
    <x:col min="35" max="35" width="18" customWidth="1"/>
    <x:col min="36" max="36" width="18" customWidth="1"/>
    <x:col min="37" max="37" width="30" customWidth="1"/>
    <x:col min="38" max="38" width="11" customWidth="1"/>
    <x:col min="39" max="39" width="11" customWidth="1"/>
    <x:col min="40" max="40" width="11" customWidth="1"/>
    <x:col min="41" max="41" width="18" customWidth="1"/>
    <x:col min="42" max="42" width="18" customWidth="1"/>
    <x:col min="43" max="43" width="18" customWidth="1"/>
    <x:col min="44" max="44" width="18" customWidth="1"/>
    <x:col min="45" max="45" width="18" customWidth="1"/>
    <x:col min="46" max="46" width="18" customWidth="1"/>
    <x:col min="47" max="47" width="18" customWidth="1"/>
    <x:col min="48" max="48" width="18" customWidth="1"/>
    <x:col min="49" max="49" width="18" customWidth="1"/>
    <x:col min="50" max="50" width="18" customWidth="1"/>
    <x:col min="51" max="51" width="18" customWidth="1"/>
    <x:col min="52" max="52" width="18" customWidth="1"/>
    <x:col min="53" max="53" width="18" customWidth="1"/>
    <x:col min="54" max="54" width="18" customWidth="1"/>
    <x:col min="55" max="55" width="18" customWidth="1"/>
    <x:col min="56" max="56" width="18" customWidth="1"/>
    <x:col min="57" max="57" width="18" customWidth="1"/>
    <x:col min="58" max="58" width="18" customWidth="1"/>
    <x:col min="59" max="59" width="18" customWidth="1"/>
    <x:col min="60" max="60" width="18" customWidth="1"/>
    <x:col min="61" max="61" width="18" customWidth="1"/>
    <x:col min="62" max="62" width="18" customWidth="1"/>
    <x:col min="63" max="63" width="18" customWidth="1"/>
    <x:col min="64" max="64" width="18" customWidth="1"/>
    <x:col min="65" max="65" width="18" customWidth="1"/>
    <x:col min="66" max="66" width="18" customWidth="1"/>
    <x:col min="67" max="67" width="18" customWidth="1"/>
    <x:col min="68" max="68" width="18" customWidth="1"/>
    <x:col min="69" max="69" width="18" customWidth="1"/>
  </x:cols>
  <x:sheetData>
    <x:row r="1">
      <x:c r="A1" s="6" t="inlineStr">
        <x:is>
          <x:t xml:space="preserve">Key</x:t>
        </x:is>
      </x:c>
      <x:c r="B1" s="6" t="inlineStr">
        <x:is>
          <x:t xml:space="preserve">Game ID</x:t>
        </x:is>
      </x:c>
      <x:c r="C1" s="6" t="inlineStr">
        <x:is>
          <x:t xml:space="preserve">System</x:t>
        </x:is>
      </x:c>
      <x:c r="D1" s="6" t="inlineStr">
        <x:is>
          <x:t xml:space="preserve">Title</x:t>
        </x:is>
      </x:c>
      <x:c r="E1" s="6" t="inlineStr">
        <x:is>
          <x:t xml:space="preserve">Alt / Regional Title</x:t>
        </x:is>
      </x:c>
      <x:c r="F1" s="6" t="inlineStr">
        <x:is>
          <x:t xml:space="preserve">Developer</x:t>
        </x:is>
      </x:c>
      <x:c r="G1" s="6" t="inlineStr">
        <x:is>
          <x:t xml:space="preserve">Publisher</x:t>
        </x:is>
      </x:c>
      <x:c r="H1" s="6" t="inlineStr">
        <x:is>
          <x:t xml:space="preserve">Year</x:t>
        </x:is>
      </x:c>
      <x:c r="I1" s="6" t="inlineStr">
        <x:is>
          <x:t xml:space="preserve">NA</x:t>
        </x:is>
      </x:c>
      <x:c r="J1" s="6" t="inlineStr">
        <x:is>
          <x:t xml:space="preserve">JP</x:t>
        </x:is>
      </x:c>
      <x:c r="K1" s="6" t="inlineStr">
        <x:is>
          <x:t xml:space="preserve">EU</x:t>
        </x:is>
      </x:c>
      <x:c r="L1" s="6" t="inlineStr">
        <x:is>
          <x:t xml:space="preserve">32X CD ver.</x:t>
        </x:is>
      </x:c>
      <x:c r="M1" s="6" t="inlineStr">
        <x:is>
          <x:t xml:space="preserve">Genre</x:t>
        </x:is>
      </x:c>
      <x:c r="N1" s="6" t="inlineStr">
        <x:is>
          <x:t xml:space="preserve">FMV Type</x:t>
        </x:is>
      </x:c>
      <x:c r="O1" s="6" t="inlineStr">
        <x:is>
          <x:t xml:space="preserve">FMV Amount (0-10)</x:t>
        </x:is>
      </x:c>
      <x:c r="P1" s="6" t="inlineStr">
        <x:is>
          <x:t xml:space="preserve">Category</x:t>
        </x:is>
      </x:c>
      <x:c r="Q1" s="6" t="inlineStr">
        <x:is>
          <x:t xml:space="preserve">Status</x:t>
        </x:is>
      </x:c>
      <x:c r="R1" s="6" t="inlineStr">
        <x:is>
          <x:t xml:space="preserve">Original Source</x:t>
        </x:is>
      </x:c>
      <x:c r="S1" s="6" t="inlineStr">
        <x:is>
          <x:t xml:space="preserve">Also On</x:t>
        </x:is>
      </x:c>
      <x:c r="T1" s="6" t="inlineStr">
        <x:is>
          <x:t xml:space="preserve">Notable Cast</x:t>
        </x:is>
      </x:c>
      <x:c r="U1" s="6" t="inlineStr">
        <x:is>
          <x:t xml:space="preserve">Discs</x:t>
        </x:is>
      </x:c>
      <x:c r="V1" s="6" t="inlineStr">
        <x:is>
          <x:t xml:space="preserve">Save Support</x:t>
        </x:is>
      </x:c>
      <x:c r="W1" s="6" t="inlineStr">
        <x:is>
          <x:t xml:space="preserve">Peripherals</x:t>
        </x:is>
      </x:c>
      <x:c r="X1" s="6" t="inlineStr">
        <x:is>
          <x:t xml:space="preserve">Content ID Risk</x:t>
        </x:is>
      </x:c>
      <x:c r="Y1" s="6" t="inlineStr">
        <x:is>
          <x:t xml:space="preserve">Content ID Trigger</x:t>
        </x:is>
      </x:c>
      <x:c r="Z1" s="6" t="inlineStr">
        <x:is>
          <x:t xml:space="preserve">Playthrough (approx.)</x:t>
        </x:is>
      </x:c>
      <x:c r="AA1" s="6" t="inlineStr">
        <x:is>
          <x:t xml:space="preserve">Hook</x:t>
        </x:is>
      </x:c>
      <x:c r="AB1" s="6" t="inlineStr">
        <x:is>
          <x:t xml:space="preserve">Cheats / Codes</x:t>
        </x:is>
      </x:c>
      <x:c r="AC1" s="6" t="inlineStr">
        <x:is>
          <x:t xml:space="preserve">Video Quality</x:t>
        </x:is>
      </x:c>
      <x:c r="AD1" s="6" t="inlineStr">
        <x:is>
          <x:t xml:space="preserve">Difficulty</x:t>
        </x:is>
      </x:c>
      <x:c r="AE1" s="6" t="inlineStr">
        <x:is>
          <x:t xml:space="preserve">Endings / Branching</x:t>
        </x:is>
      </x:c>
      <x:c r="AF1" s="6" t="inlineStr">
        <x:is>
          <x:t xml:space="preserve">Production Trivia</x:t>
        </x:is>
      </x:c>
      <x:c r="AG1" s="6" t="inlineStr">
        <x:is>
          <x:t xml:space="preserve">Variants</x:t>
        </x:is>
      </x:c>
      <x:c r="AH1" s="6" t="inlineStr">
        <x:is>
          <x:t xml:space="preserve">Modern Re-release</x:t>
        </x:is>
      </x:c>
      <x:c r="AI1" s="6" t="inlineStr">
        <x:is>
          <x:t xml:space="preserve">How Hard to Play</x:t>
        </x:is>
      </x:c>
      <x:c r="AJ1" s="6" t="inlineStr">
        <x:is>
          <x:t xml:space="preserve">Where to Play</x:t>
        </x:is>
      </x:c>
      <x:c r="AK1" s="6" t="inlineStr">
        <x:is>
          <x:t xml:space="preserve">Notes</x:t>
        </x:is>
      </x:c>
      <x:c r="AL1" s="7" t="inlineStr">
        <x:is>
          <x:t xml:space="preserve">Loose $</x:t>
        </x:is>
      </x:c>
      <x:c r="AM1" s="7" t="inlineStr">
        <x:is>
          <x:t xml:space="preserve">CIB $</x:t>
        </x:is>
      </x:c>
      <x:c r="AN1" s="7" t="inlineStr">
        <x:is>
          <x:t xml:space="preserve">New $</x:t>
        </x:is>
      </x:c>
      <x:c r="AO1" s="7" t="inlineStr">
        <x:is>
          <x:t xml:space="preserve">Price Date</x:t>
        </x:is>
      </x:c>
      <x:c r="AP1" s="7" t="inlineStr">
        <x:is>
          <x:t xml:space="preserve">PriceCharting</x:t>
        </x:is>
      </x:c>
      <x:c r="AQ1" s="7" t="inlineStr">
        <x:is>
          <x:t xml:space="preserve">Digital $</x:t>
        </x:is>
      </x:c>
      <x:c r="AR1" s="7" t="inlineStr">
        <x:is>
          <x:t xml:space="preserve">Store</x:t>
        </x:is>
      </x:c>
      <x:c r="AS1" s="7" t="inlineStr">
        <x:is>
          <x:t xml:space="preserve">Store Page</x:t>
        </x:is>
      </x:c>
      <x:c r="AT1" s="7" t="inlineStr">
        <x:is>
          <x:t xml:space="preserve">Digital Price Date</x:t>
        </x:is>
      </x:c>
      <x:c r="AU1" s="7" t="inlineStr">
        <x:is>
          <x:t xml:space="preserve">Price Status</x:t>
        </x:is>
      </x:c>
      <x:c r="AV1" s="7" t="inlineStr">
        <x:is>
          <x:t xml:space="preserve">Price Note</x:t>
        </x:is>
      </x:c>
      <x:c r="AW1" s="7" t="inlineStr">
        <x:is>
          <x:t xml:space="preserve">Sega-16 Grade</x:t>
        </x:is>
      </x:c>
      <x:c r="AX1" s="7" t="inlineStr">
        <x:is>
          <x:t xml:space="preserve">Sega-16 Review</x:t>
        </x:is>
      </x:c>
      <x:c r="AY1" s="7" t="inlineStr">
        <x:is>
          <x:t xml:space="preserve">MobyGames Critic %</x:t>
        </x:is>
      </x:c>
      <x:c r="AZ1" s="7" t="inlineStr">
        <x:is>
          <x:t xml:space="preserve">MobyGames Player /5</x:t>
        </x:is>
      </x:c>
      <x:c r="BA1" s="7" t="inlineStr">
        <x:is>
          <x:t xml:space="preserve">MobyGames</x:t>
        </x:is>
      </x:c>
      <x:c r="BB1" s="7" t="inlineStr">
        <x:is>
          <x:t xml:space="preserve">Critic % (other)</x:t>
        </x:is>
      </x:c>
      <x:c r="BC1" s="7" t="inlineStr">
        <x:is>
          <x:t xml:space="preserve">Critic Source</x:t>
        </x:is>
      </x:c>
      <x:c r="BD1" s="7" t="inlineStr">
        <x:is>
          <x:t xml:space="preserve">Critic Source Link</x:t>
        </x:is>
      </x:c>
      <x:c r="BE1" s="7" t="inlineStr">
        <x:is>
          <x:t xml:space="preserve">Wikipedia</x:t>
        </x:is>
      </x:c>
      <x:c r="BF1" s="7" t="inlineStr">
        <x:is>
          <x:t xml:space="preserve">Backloggd</x:t>
        </x:is>
      </x:c>
      <x:c r="BG1" s="7" t="inlineStr">
        <x:is>
          <x:t xml:space="preserve">Sega Retro</x:t>
        </x:is>
      </x:c>
      <x:c r="BH1" s="7" t="inlineStr">
        <x:is>
          <x:t xml:space="preserve">KLOV</x:t>
        </x:is>
      </x:c>
      <x:c r="BI1" s="8" t="inlineStr">
        <x:is>
          <x:t xml:space="preserve">Owned?</x:t>
        </x:is>
      </x:c>
      <x:c r="BJ1" s="8" t="inlineStr">
        <x:is>
          <x:t xml:space="preserve">Format Owned</x:t>
        </x:is>
      </x:c>
      <x:c r="BK1" s="8" t="inlineStr">
        <x:is>
          <x:t xml:space="preserve">Played?</x:t>
        </x:is>
      </x:c>
      <x:c r="BL1" s="8" t="inlineStr">
        <x:is>
          <x:t xml:space="preserve">Episode #</x:t>
        </x:is>
      </x:c>
      <x:c r="BM1" s="8" t="inlineStr">
        <x:is>
          <x:t xml:space="preserve">Recording Date</x:t>
        </x:is>
      </x:c>
      <x:c r="BN1" s="8" t="inlineStr">
        <x:is>
          <x:t xml:space="preserve">Upload Date</x:t>
        </x:is>
      </x:c>
      <x:c r="BO1" s="8" t="inlineStr">
        <x:is>
          <x:t xml:space="preserve">Video URL</x:t>
        </x:is>
      </x:c>
      <x:c r="BP1" s="8" t="inlineStr">
        <x:is>
          <x:t xml:space="preserve">Runtime</x:t>
        </x:is>
      </x:c>
      <x:c r="BQ1" s="8" t="inlineStr">
        <x:is>
          <x:t xml:space="preserve">My Notes</x:t>
        </x:is>
      </x:c>
    </x:row>
    <x:row r="2">
      <x:c r="A2" s="9" t="str">
        <x:v>segacd-1</x:v>
      </x:c>
      <x:c r="B2" s="9" t="str">
        <x:v>cobra-command</x:v>
      </x:c>
      <x:c r="C2" s="9" t="str">
        <x:v>Sega CD</x:v>
      </x:c>
      <x:c r="D2" s="9" t="str">
        <x:v>Cobra Command</x:v>
      </x:c>
      <x:c r="E2" s="9" t="str">
        <x:v>Thunder Storm FX (JP)</x:v>
      </x:c>
      <x:c r="F2" s="9" t="str">
        <x:v>Data East (orig.) / Wolf Team (port)</x:v>
      </x:c>
      <x:c r="G2" s="9" t="str">
        <x:v>Sega (NA), Wolf Team (JP)</x:v>
      </x:c>
      <x:c r="H2" s="9" t="n">
        <x:v>1992</x:v>
      </x:c>
      <x:c r="I2" s="9" t="str">
        <x:v>Yes</x:v>
      </x:c>
      <x:c r="J2" s="9" t="str">
        <x:v>Yes</x:v>
      </x:c>
      <x:c r="K2" s="9" t="str">
        <x:v>No</x:v>
      </x:c>
      <x:c r="L2" s="9" t="str">
        <x:v>No</x:v>
      </x:c>
      <x:c r="M2" s="9" t="str">
        <x:v>Interactive movie / QTE</x:v>
      </x:c>
      <x:c r="N2" s="9" t="str">
        <x:v>Animated</x:v>
      </x:c>
      <x:c r="O2" s="9" t="n">
        <x:v>10</x:v>
      </x:c>
      <x:c r="P2" s="9" t="str">
        <x:v>Laserdisc port</x:v>
      </x:c>
      <x:c r="Q2" s="9" t="str">
        <x:v>Released</x:v>
      </x:c>
      <x:c r="R2" s="9" t="str">
        <x:v>1984 Data East laserdisc arcade game</x:v>
      </x:c>
      <x:c r="S2" s="9" t="str">
        <x:v>Saturn &amp; PS1 (JP, 'Thunder Storm &amp; Road Blaster' set)</x:v>
      </x:c>
      <x:c r="T2" s="9" t="str">
        <x:v>—</x:v>
      </x:c>
      <x:c r="U2" s="9" t="n">
        <x:v>1</x:v>
      </x:c>
      <x:c r="V2" s="9" t="str">
        <x:v>No</x:v>
      </x:c>
      <x:c r="W2" s="9" t="str">
        <x:v>Controller</x:v>
      </x:c>
      <x:c r="X2" s="9" t="str">
        <x:v>Low</x:v>
      </x:c>
      <x:c r="Y2" s="9"/>
      <x:c r="Z2" s="9" t="str">
        <x:v>30–40 min</x:v>
      </x:c>
      <x:c r="AA2" s="9" t="str">
        <x:v>Data East's 1984 helicopter laserdisc game, and the Sega CD port is the one everybody says is the best version it ever got.</x:v>
      </x:c>
      <x:c r="AB2" s="9" t="str">
        <x:v>Invincibility: at the main menu press Left, Right, A+B+C (a sound confirms), then B, A, C, A, Left, Left, Right, Left. Level select: press Start at the title, then Up, Left, Right, Right, Up when Game Start / Config Mode appear; an explosion confirms, then Left/Right on 'New York - Stage 1' picks the start stage. (FMV World)</x:v>
      </x:c>
      <x:c r="AC2" s="9" t="str">
        <x:v>Near full-screen window, ~15 fps, heavily dithered; among the better-looking Sega CD video for 1992.</x:v>
      </x:c>
      <x:c r="AD2" s="9" t="str">
        <x:v>Medium — prompts are visible on screen; memorization over 6 stages.</x:v>
      </x:c>
      <x:c r="AE2" s="9" t="str">
        <x:v>Single ending; stages are linear.</x:v>
      </x:c>
      <x:c r="AF2" s="9" t="str">
        <x:v>Wolf Team handled the port; Renovation/Sega shipped it within the console's first months in the US. Anime work by Toei Animation.</x:v>
      </x:c>
      <x:c r="AG2" s="9" t="str">
        <x:v>US (Sega), JP 'Thunder Storm FX' (Wolf Team). JP disc is more expensive.</x:v>
      </x:c>
      <x:c r="AH2" s="9" t="str">
        <x:v>No</x:v>
      </x:c>
      <x:c r="AI2" s="9" t="str">
        <x:v>Easy</x:v>
      </x:c>
      <x:c r="AJ2" s="9"/>
      <x:c r="AK2" s="9" t="str">
        <x:v>1984 Data East laserdisc game. Helicopter QTE action; same style as Road Avenger. Sega CD port widely considered the best home version.</x:v>
      </x:c>
      <x:c r="AL2" s="10" t="n">
        <x:v>12.17</x:v>
      </x:c>
      <x:c r="AM2" s="10" t="n">
        <x:v>49.93</x:v>
      </x:c>
      <x:c r="AN2" s="10" t="n">
        <x:v>55</x:v>
      </x:c>
      <x:c r="AO2" s="9" t="str">
        <x:v>2026-10-20</x:v>
      </x:c>
      <x:c r="AP2" s="11" t="str">
        <x:f>HYPERLINK("https://www.pricecharting.com/search-products?q=Cobra+Command+sega+cd&amp;type=prices","PriceCharting")</x:f>
        <x:v>PriceCharting</x:v>
      </x:c>
      <x:c r="AQ2" s="9"/>
      <x:c r="AR2" s="9"/>
      <x:c r="AS2" s="9"/>
      <x:c r="AT2" s="9"/>
      <x:c r="AU2" s="9"/>
      <x:c r="AV2" s="9"/>
      <x:c r="AW2" s="9" t="str">
        <x:v>3/10</x:v>
      </x:c>
      <x:c r="AX2" s="9" t="str">
        <x:f>HYPERLINK("https://www.sega-16.com/2004/07/cobra-command/","Sega-16")</x:f>
        <x:v>Sega-16</x:v>
      </x:c>
      <x:c r="AY2" s="9" t="str">
        <x:v>68%</x:v>
      </x:c>
      <x:c r="AZ2" s="9"/>
      <x:c r="BA2" s="11" t="str">
        <x:f>HYPERLINK("https://www.mobygames.com/game/sega-cd/cobra-command_","MobyGames")</x:f>
        <x:v>MobyGames</x:v>
      </x:c>
      <x:c r="BB2" s="9"/>
      <x:c r="BC2" s="9"/>
      <x:c r="BD2" s="9"/>
      <x:c r="BE2" s="11" t="str">
        <x:f>HYPERLINK("https://en.wikipedia.org/wiki/Cobra_Command_(1984_video_game)","Wikipedia")</x:f>
        <x:v>Wikipedia</x:v>
      </x:c>
      <x:c r="BF2" s="11" t="str">
        <x:f>HYPERLINK("https://backloggd.com/search/games/Cobra%20Command/","Backloggd")</x:f>
        <x:v>Backloggd</x:v>
      </x:c>
      <x:c r="BG2" s="11" t="str">
        <x:f>HYPERLINK("https://segaretro.org/index.php?search=Cobra+Command","Sega Retro")</x:f>
        <x:v>Sega Retro</x:v>
      </x:c>
      <x:c r="BH2" s="9"/>
      <x:c r="BI2" s="12" t="str">
        <x:v>No</x:v>
      </x:c>
      <x:c r="BJ2" s="12" t="str"/>
      <x:c r="BK2" s="12" t="str">
        <x:v>No</x:v>
      </x:c>
      <x:c r="BL2" s="12" t="str"/>
      <x:c r="BM2" s="12" t="str"/>
      <x:c r="BN2" s="12" t="str"/>
      <x:c r="BO2" s="12" t="str"/>
      <x:c r="BP2" s="12" t="str"/>
      <x:c r="BQ2" s="12" t="str"/>
    </x:row>
    <x:row r="3">
      <x:c r="A3" s="9" t="str">
        <x:v>segacd-2</x:v>
      </x:c>
      <x:c r="B3" s="9" t="str">
        <x:v>road-blaster</x:v>
      </x:c>
      <x:c r="C3" s="9" t="str">
        <x:v>Sega CD</x:v>
      </x:c>
      <x:c r="D3" s="9" t="str">
        <x:v>Road Avenger</x:v>
      </x:c>
      <x:c r="E3" s="9" t="str">
        <x:v>Road Blaster FX (JP)</x:v>
      </x:c>
      <x:c r="F3" s="9" t="str">
        <x:v>Data East (orig.) / Wolf Team (port)</x:v>
      </x:c>
      <x:c r="G3" s="9" t="str">
        <x:v>Renovation (NA), Wolf Team (JP), Sega (EU)</x:v>
      </x:c>
      <x:c r="H3" s="9" t="n">
        <x:v>1992</x:v>
      </x:c>
      <x:c r="I3" s="9" t="str">
        <x:v>Yes</x:v>
      </x:c>
      <x:c r="J3" s="9" t="str">
        <x:v>Yes</x:v>
      </x:c>
      <x:c r="K3" s="9" t="str">
        <x:v>Yes</x:v>
      </x:c>
      <x:c r="L3" s="9" t="str">
        <x:v>No</x:v>
      </x:c>
      <x:c r="M3" s="9" t="str">
        <x:v>Interactive movie / QTE</x:v>
      </x:c>
      <x:c r="N3" s="9" t="str">
        <x:v>Animated</x:v>
      </x:c>
      <x:c r="O3" s="9" t="n">
        <x:v>10</x:v>
      </x:c>
      <x:c r="P3" s="9" t="str">
        <x:v>Laserdisc port</x:v>
      </x:c>
      <x:c r="Q3" s="9" t="str">
        <x:v>Released</x:v>
      </x:c>
      <x:c r="R3" s="9" t="str">
        <x:v>1985 Data East laserdisc arcade game</x:v>
      </x:c>
      <x:c r="S3" s="9" t="str">
        <x:v>Saturn &amp; PS1 (JP set), iOS</x:v>
      </x:c>
      <x:c r="T3" s="9" t="str">
        <x:v>—</x:v>
      </x:c>
      <x:c r="U3" s="9" t="n">
        <x:v>1</x:v>
      </x:c>
      <x:c r="V3" s="9" t="str">
        <x:v>No</x:v>
      </x:c>
      <x:c r="W3" s="9" t="str">
        <x:v>Controller</x:v>
      </x:c>
      <x:c r="X3" s="9" t="str">
        <x:v>Low</x:v>
      </x:c>
      <x:c r="Y3" s="9"/>
      <x:c r="Z3" s="9" t="str">
        <x:v>30–40 min</x:v>
      </x:c>
      <x:c r="AA3" s="9" t="str">
        <x:v>The one Sega CD laserdisc port people actually recommend: a Mad Max car-chase cartoon with an absurd synth soundtrack.</x:v>
      </x:c>
      <x:c r="AB3" s="9" t="str">
        <x:v>In the Options menu highlight 'Players', then: A six times = level select; C five times = debug mode (A+B+C during play); A five times then B = demo mode; A four times then B = pause enabled. (FMV World)</x:v>
      </x:c>
      <x:c r="AC3" s="9" t="str">
        <x:v>Near full-screen, ~15 fps, strong colors; one of the best-looking Sega CD FMV games.</x:v>
      </x:c>
      <x:c r="AD3" s="9" t="str">
        <x:v>Medium-hard — fast directional prompts; later stages require memorization.</x:v>
      </x:c>
      <x:c r="AE3" s="9" t="str">
        <x:v>Single ending; 9 linear stages.</x:v>
      </x:c>
      <x:c r="AF3" s="9" t="str">
        <x:v>Data East's 1985 'Road Blaster' arcade game; Wolf Team port. The soundtrack was re-recorded for the Sega CD version and is a fan favourite.</x:v>
      </x:c>
      <x:c r="AG3" s="9" t="str">
        <x:v>US (Renovation), EU (Sega), JP 'Road Blaster FX' (Wolf Team).</x:v>
      </x:c>
      <x:c r="AH3" s="9" t="str">
        <x:v>Yes (iOS/Android port, 2013)</x:v>
      </x:c>
      <x:c r="AI3" s="9" t="str">
        <x:v>Easy</x:v>
      </x:c>
      <x:c r="AJ3" s="9"/>
      <x:c r="AK3" s="9" t="str">
        <x:v>1985 Data East laserdisc game. Car-chase QTE; one of the best-regarded Sega CD FMV titles.</x:v>
      </x:c>
      <x:c r="AL3" s="10" t="n">
        <x:v>26.48</x:v>
      </x:c>
      <x:c r="AM3" s="10" t="n">
        <x:v>99.99</x:v>
      </x:c>
      <x:c r="AN3" s="10" t="n">
        <x:v>180</x:v>
      </x:c>
      <x:c r="AO3" s="9" t="str">
        <x:v>2026-10-20</x:v>
      </x:c>
      <x:c r="AP3" s="11" t="str">
        <x:f>HYPERLINK("https://www.pricecharting.com/search-products?q=Road+Avenger+sega+cd&amp;type=prices","PriceCharting")</x:f>
        <x:v>PriceCharting</x:v>
      </x:c>
      <x:c r="AQ3" s="9"/>
      <x:c r="AR3" s="9"/>
      <x:c r="AS3" s="9"/>
      <x:c r="AT3" s="9"/>
      <x:c r="AU3" s="9"/>
      <x:c r="AV3" s="9"/>
      <x:c r="AW3" s="9" t="str">
        <x:v>9/10</x:v>
      </x:c>
      <x:c r="AX3" s="9" t="str">
        <x:f>HYPERLINK("https://www.sega-16.com/2005/10/road-avenger/","Sega-16")</x:f>
        <x:v>Sega-16</x:v>
      </x:c>
      <x:c r="AY3" s="9" t="str">
        <x:v>78%</x:v>
      </x:c>
      <x:c r="AZ3" s="9" t="str">
        <x:v>4.0</x:v>
      </x:c>
      <x:c r="BA3" s="11" t="str">
        <x:f>HYPERLINK("https://www.mobygames.com/game/sega-cd/road-avenger","MobyGames")</x:f>
        <x:v>MobyGames</x:v>
      </x:c>
      <x:c r="BB3" s="9"/>
      <x:c r="BC3" s="9"/>
      <x:c r="BD3" s="9"/>
      <x:c r="BE3" s="11" t="str">
        <x:f>HYPERLINK("https://en.wikipedia.org/wiki/Road_Blaster","Wikipedia")</x:f>
        <x:v>Wikipedia</x:v>
      </x:c>
      <x:c r="BF3" s="11" t="str">
        <x:f>HYPERLINK("https://backloggd.com/search/games/Road%20Avenger/","Backloggd")</x:f>
        <x:v>Backloggd</x:v>
      </x:c>
      <x:c r="BG3" s="11" t="str">
        <x:f>HYPERLINK("https://segaretro.org/index.php?search=Road+Avenger","Sega Retro")</x:f>
        <x:v>Sega Retro</x:v>
      </x:c>
      <x:c r="BH3" s="9"/>
      <x:c r="BI3" s="12" t="str">
        <x:v>No</x:v>
      </x:c>
      <x:c r="BJ3" s="12" t="str"/>
      <x:c r="BK3" s="12" t="str">
        <x:v>No</x:v>
      </x:c>
      <x:c r="BL3" s="12" t="str"/>
      <x:c r="BM3" s="12" t="str"/>
      <x:c r="BN3" s="12" t="str"/>
      <x:c r="BO3" s="12" t="str"/>
      <x:c r="BP3" s="12" t="str"/>
      <x:c r="BQ3" s="12" t="str"/>
    </x:row>
    <x:row r="4">
      <x:c r="A4" s="9" t="str">
        <x:v>segacd-3</x:v>
      </x:c>
      <x:c r="B4" s="9" t="str">
        <x:v>time-gal</x:v>
      </x:c>
      <x:c r="C4" s="9" t="str">
        <x:v>Sega CD</x:v>
      </x:c>
      <x:c r="D4" s="9" t="str">
        <x:v>Time Gal</x:v>
      </x:c>
      <x:c r="E4" s="9"/>
      <x:c r="F4" s="9" t="str">
        <x:v>Taito (orig.) / Wolf Team (port)</x:v>
      </x:c>
      <x:c r="G4" s="9" t="str">
        <x:v>Wolf Team (JP), Renovation (NA), Sega (EU)</x:v>
      </x:c>
      <x:c r="H4" s="9" t="n">
        <x:v>1992</x:v>
      </x:c>
      <x:c r="I4" s="9" t="str">
        <x:v>Yes</x:v>
      </x:c>
      <x:c r="J4" s="9" t="str">
        <x:v>Yes</x:v>
      </x:c>
      <x:c r="K4" s="9" t="str">
        <x:v>Yes</x:v>
      </x:c>
      <x:c r="L4" s="9" t="str">
        <x:v>No</x:v>
      </x:c>
      <x:c r="M4" s="9" t="str">
        <x:v>Interactive movie / QTE</x:v>
      </x:c>
      <x:c r="N4" s="9" t="str">
        <x:v>Animated</x:v>
      </x:c>
      <x:c r="O4" s="9" t="n">
        <x:v>10</x:v>
      </x:c>
      <x:c r="P4" s="9" t="str">
        <x:v>Laserdisc port</x:v>
      </x:c>
      <x:c r="Q4" s="9" t="str">
        <x:v>Released</x:v>
      </x:c>
      <x:c r="R4" s="9" t="str">
        <x:v>1985 Taito laserdisc arcade game</x:v>
      </x:c>
      <x:c r="S4" s="9" t="str">
        <x:v>Saturn &amp; PS1 (JP, 'Time Gal &amp; Ninja Hayate' set)</x:v>
      </x:c>
      <x:c r="T4" s="9" t="str">
        <x:v>—</x:v>
      </x:c>
      <x:c r="U4" s="9" t="n">
        <x:v>1</x:v>
      </x:c>
      <x:c r="V4" s="9" t="str">
        <x:v>No</x:v>
      </x:c>
      <x:c r="W4" s="9" t="str">
        <x:v>Controller</x:v>
      </x:c>
      <x:c r="X4" s="9" t="str">
        <x:v>Low</x:v>
      </x:c>
      <x:c r="Y4" s="9"/>
      <x:c r="Z4" s="9" t="str">
        <x:v>30–45 min</x:v>
      </x:c>
      <x:c r="AA4" s="9" t="str">
        <x:v>Taito's 1985 time-travelling heroine, never released in English, and the only laserdisc port on the console where the prompts are in Japanese.</x:v>
      </x:c>
      <x:c r="AB4" s="9" t="str">
        <x:v>Level select: at the main menu press Left, Right, Right, Up, then choose Game Start to pick level, area and screen orientation. GameFAQs also lists the correct inputs to clear every era and scene-viewer passwords (e.g. 1588 AD DRXHTLQJ). (GameFAQs)</x:v>
      </x:c>
      <x:c r="AC4" s="9" t="str">
        <x:v>Near full-screen, ~15 fps, slightly washed-out.</x:v>
      </x:c>
      <x:c r="AD4" s="9" t="str">
        <x:v>Medium — includes 'Time Stop' multiple-choice sections that are pure trial and error.</x:v>
      </x:c>
      <x:c r="AE4" s="9" t="str">
        <x:v>Single ending; 16 time periods in fixed order.</x:v>
      </x:c>
      <x:c r="AF4" s="9" t="str">
        <x:v>Animation by Toei. The Sega CD version was Wolf Team's first laserdisc port; it later shipped on Saturn/PS1 paired with Ninja Hayate.</x:v>
      </x:c>
      <x:c r="AG4" s="9" t="str">
        <x:v>JP (Wolf Team, 13 Nov 1992), US (Renovation, 1993) and EU (Sega) releases; the international versions differ from the Japanese one (TCRF). Sega Retro could not be fetched from the cloud to confirm the US/EU dates (verify).</x:v>
      </x:c>
      <x:c r="AH4" s="9" t="str">
        <x:v>No (Sega CD); arcade HD remaster in Taito LD Game Collection (Switch JP, 2023) and on Steam (2025).</x:v>
      </x:c>
      <x:c r="AI4" s="9" t="str">
        <x:v>Easy</x:v>
      </x:c>
      <x:c r="AJ4" s="9" t="str">
        <x:v>Original Sega CD disc on hardware or an emulator; arcade HD remaster sold separately on Switch and Steam.</x:v>
      </x:c>
      <x:c r="AK4" s="9" t="str">
        <x:v>1985 Taito laserdisc game. Japan only; menu text is Japanese but gameplay is prompt-based and playable without reading.</x:v>
      </x:c>
      <x:c r="AL4" s="10" t="n">
        <x:v>31.85</x:v>
      </x:c>
      <x:c r="AM4" s="10" t="n">
        <x:v>195.5</x:v>
      </x:c>
      <x:c r="AN4" s="10" t="n">
        <x:v>240</x:v>
      </x:c>
      <x:c r="AO4" s="9" t="str">
        <x:v>2026-10-20</x:v>
      </x:c>
      <x:c r="AP4" s="11" t="str">
        <x:f>HYPERLINK("https://www.pricecharting.com/search-products?q=Time+Gal+sega+cd&amp;type=prices","PriceCharting")</x:f>
        <x:v>PriceCharting</x:v>
      </x:c>
      <x:c r="AQ4" s="9"/>
      <x:c r="AR4" s="9"/>
      <x:c r="AS4" s="9"/>
      <x:c r="AT4" s="9"/>
      <x:c r="AU4" s="9"/>
      <x:c r="AV4" s="9"/>
      <x:c r="AW4" s="9" t="str">
        <x:v>5/10</x:v>
      </x:c>
      <x:c r="AX4" s="9" t="str">
        <x:f>HYPERLINK("https://www.sega-16.com/2006/05/time-gal/","Sega-16")</x:f>
        <x:v>Sega-16</x:v>
      </x:c>
      <x:c r="AY4" s="9" t="str">
        <x:v>68%</x:v>
      </x:c>
      <x:c r="AZ4" s="9" t="str">
        <x:v>3.8</x:v>
      </x:c>
      <x:c r="BA4" s="11" t="str">
        <x:f>HYPERLINK("https://www.mobygames.com/game/13496/time-gal/","MobyGames")</x:f>
        <x:v>MobyGames</x:v>
      </x:c>
      <x:c r="BB4" s="9"/>
      <x:c r="BC4" s="9"/>
      <x:c r="BD4" s="9"/>
      <x:c r="BE4" s="11" t="str">
        <x:f>HYPERLINK("https://en.wikipedia.org/wiki/Time_Gal","Wikipedia")</x:f>
        <x:v>Wikipedia</x:v>
      </x:c>
      <x:c r="BF4" s="11" t="str">
        <x:f>HYPERLINK("https://backloggd.com/search/games/Time%20Gal/","Backloggd")</x:f>
        <x:v>Backloggd</x:v>
      </x:c>
      <x:c r="BG4" s="11" t="str">
        <x:f>HYPERLINK("https://segaretro.org/index.php?search=Time+Gal","Sega Retro")</x:f>
        <x:v>Sega Retro</x:v>
      </x:c>
      <x:c r="BH4" s="9"/>
      <x:c r="BI4" s="12" t="str">
        <x:v>No</x:v>
      </x:c>
      <x:c r="BJ4" s="12" t="str"/>
      <x:c r="BK4" s="12" t="str">
        <x:v>No</x:v>
      </x:c>
      <x:c r="BL4" s="12" t="str"/>
      <x:c r="BM4" s="12" t="str"/>
      <x:c r="BN4" s="12" t="str"/>
      <x:c r="BO4" s="12" t="str"/>
      <x:c r="BP4" s="12" t="str"/>
      <x:c r="BQ4" s="12" t="str"/>
    </x:row>
    <x:row r="5">
      <x:c r="A5" s="9" t="str">
        <x:v>segacd-4</x:v>
      </x:c>
      <x:c r="B5" s="9" t="str">
        <x:v>ninja-hayate</x:v>
      </x:c>
      <x:c r="C5" s="9" t="str">
        <x:v>Sega CD</x:v>
      </x:c>
      <x:c r="D5" s="9" t="str">
        <x:v>Revenge of the Ninja</x:v>
      </x:c>
      <x:c r="E5" s="9" t="str">
        <x:v>Ninja Hayate (JP)</x:v>
      </x:c>
      <x:c r="F5" s="9" t="str">
        <x:v>Taito (orig.) / Wolf Team (port)</x:v>
      </x:c>
      <x:c r="G5" s="9" t="str">
        <x:v>Renovation (NA), Wolf Team (JP)</x:v>
      </x:c>
      <x:c r="H5" s="9" t="n">
        <x:v>1993</x:v>
      </x:c>
      <x:c r="I5" s="9" t="str">
        <x:v>Yes</x:v>
      </x:c>
      <x:c r="J5" s="9" t="str">
        <x:v>Yes</x:v>
      </x:c>
      <x:c r="K5" s="9" t="str">
        <x:v>No</x:v>
      </x:c>
      <x:c r="L5" s="9" t="str">
        <x:v>No</x:v>
      </x:c>
      <x:c r="M5" s="9" t="str">
        <x:v>Interactive movie / QTE</x:v>
      </x:c>
      <x:c r="N5" s="9" t="str">
        <x:v>Animated</x:v>
      </x:c>
      <x:c r="O5" s="9" t="n">
        <x:v>10</x:v>
      </x:c>
      <x:c r="P5" s="9" t="str">
        <x:v>Laserdisc port</x:v>
      </x:c>
      <x:c r="Q5" s="9" t="str">
        <x:v>Released</x:v>
      </x:c>
      <x:c r="R5" s="9" t="str">
        <x:v>1984 Taito laserdisc arcade game (Ninja Hayate)</x:v>
      </x:c>
      <x:c r="S5" s="9" t="str">
        <x:v>Saturn &amp; PS1 (JP set)</x:v>
      </x:c>
      <x:c r="T5" s="9" t="str">
        <x:v>—</x:v>
      </x:c>
      <x:c r="U5" s="9" t="n">
        <x:v>1</x:v>
      </x:c>
      <x:c r="V5" s="9" t="str">
        <x:v>No</x:v>
      </x:c>
      <x:c r="W5" s="9" t="str">
        <x:v>Controller</x:v>
      </x:c>
      <x:c r="X5" s="9" t="str">
        <x:v>Low</x:v>
      </x:c>
      <x:c r="Y5" s="9"/>
      <x:c r="Z5" s="9" t="str">
        <x:v>30 min</x:v>
      </x:c>
      <x:c r="AA5" s="9" t="str">
        <x:v>The forgotten fourth laserdisc port: a Taito ninja cartoon so obscure most Sega CD collectors have never seen it running.</x:v>
      </x:c>
      <x:c r="AB5" s="9" t="str">
        <x:v>At the title with Game Start showing: Down, Left, Up, Right, Up, Right, Down, Left = stage select; Right, Left, Down, Up, Up, Down, Left, Right = infinite lives. Main menu Down, Down, Right, Up, then pause and press C to clear a level. Start screen Right, Left, Up, Down, Right, Left, Up = test mode with every cinematic. (GameFAQs)</x:v>
      </x:c>
      <x:c r="AC5" s="9" t="str">
        <x:v>Near full-screen, ~15 fps; animation quality is a step below Time Gal.</x:v>
      </x:c>
      <x:c r="AD5" s="9" t="str">
        <x:v>Hard — short reaction windows and little on-screen prompting.</x:v>
      </x:c>
      <x:c r="AE5" s="9" t="str">
        <x:v>Single ending; linear.</x:v>
      </x:c>
      <x:c r="AF5" s="9" t="str">
        <x:v>Arcade original 'Ninja Hayate' (1984). Renovation's US release was tiny, which is why it's rarer than the JP disc.</x:v>
      </x:c>
      <x:c r="AG5" s="9" t="str">
        <x:v>US (Renovation), JP 'Ninja Hayate' (Wolf Team).</x:v>
      </x:c>
      <x:c r="AH5" s="9" t="str">
        <x:v>No (Sega CD); arcade HD remaster in Taito LD Game Collection (Switch JP, 2023) and on Steam (2025).</x:v>
      </x:c>
      <x:c r="AI5" s="9" t="str">
        <x:v>Easy</x:v>
      </x:c>
      <x:c r="AJ5" s="9" t="str">
        <x:v>Original Sega CD disc on hardware or an emulator; arcade HD remaster sold separately on Switch and Steam.</x:v>
      </x:c>
      <x:c r="AK5" s="9" t="str">
        <x:v>1984 Taito laserdisc game. Did get a North American release via Renovation (corrects earlier note that it was JP-only).</x:v>
      </x:c>
      <x:c r="AL5" s="10" t="n">
        <x:v>26.07</x:v>
      </x:c>
      <x:c r="AM5" s="10" t="n">
        <x:v>41.71</x:v>
      </x:c>
      <x:c r="AN5" s="10" t="n">
        <x:v>99.49</x:v>
      </x:c>
      <x:c r="AO5" s="9" t="str">
        <x:v>2026-10-20</x:v>
      </x:c>
      <x:c r="AP5" s="11" t="str">
        <x:f>HYPERLINK("https://www.pricecharting.com/search-products?q=Revenge+of+the+Ninja+sega+cd&amp;type=prices","PriceCharting")</x:f>
        <x:v>PriceCharting</x:v>
      </x:c>
      <x:c r="AQ5" s="9"/>
      <x:c r="AR5" s="9"/>
      <x:c r="AS5" s="9"/>
      <x:c r="AT5" s="9"/>
      <x:c r="AU5" s="9"/>
      <x:c r="AV5" s="9"/>
      <x:c r="AW5" s="9" t="str">
        <x:v>4/10</x:v>
      </x:c>
      <x:c r="AX5" s="9" t="str">
        <x:f>HYPERLINK("https://www.sega-16.com/2007/02/revenge-of-the-ninja/","Sega-16")</x:f>
        <x:v>Sega-16</x:v>
      </x:c>
      <x:c r="AY5" s="9" t="str">
        <x:v>64%</x:v>
      </x:c>
      <x:c r="AZ5" s="9"/>
      <x:c r="BA5" s="11" t="str">
        <x:f>HYPERLINK("https://www.mobygames.com/game/sega-cd/revenge-of-the-ninja","MobyGames")</x:f>
        <x:v>MobyGames</x:v>
      </x:c>
      <x:c r="BB5" s="9"/>
      <x:c r="BC5" s="9"/>
      <x:c r="BD5" s="9"/>
      <x:c r="BE5" s="11" t="str">
        <x:f>HYPERLINK("https://en.wikipedia.org/wiki/Ninja_Hayate","Wikipedia")</x:f>
        <x:v>Wikipedia</x:v>
      </x:c>
      <x:c r="BF5" s="11" t="str">
        <x:f>HYPERLINK("https://backloggd.com/search/games/Revenge%20of%20the%20Ninja/","Backloggd")</x:f>
        <x:v>Backloggd</x:v>
      </x:c>
      <x:c r="BG5" s="11" t="str">
        <x:f>HYPERLINK("https://segaretro.org/index.php?search=Revenge+of+the+Ninja","Sega Retro")</x:f>
        <x:v>Sega Retro</x:v>
      </x:c>
      <x:c r="BH5" s="9"/>
      <x:c r="BI5" s="12" t="str">
        <x:v>No</x:v>
      </x:c>
      <x:c r="BJ5" s="12" t="str"/>
      <x:c r="BK5" s="12" t="str">
        <x:v>No</x:v>
      </x:c>
      <x:c r="BL5" s="12" t="str"/>
      <x:c r="BM5" s="12" t="str"/>
      <x:c r="BN5" s="12" t="str"/>
      <x:c r="BO5" s="12" t="str"/>
      <x:c r="BP5" s="12" t="str"/>
      <x:c r="BQ5" s="12" t="str"/>
    </x:row>
    <x:row r="6">
      <x:c r="A6" s="9" t="str">
        <x:v>segacd-5</x:v>
      </x:c>
      <x:c r="B6" s="9" t="str">
        <x:v>dragons-lair</x:v>
      </x:c>
      <x:c r="C6" s="9" t="str">
        <x:v>Sega CD</x:v>
      </x:c>
      <x:c r="D6" s="9" t="str">
        <x:v>Dragon's Lair</x:v>
      </x:c>
      <x:c r="E6" s="9"/>
      <x:c r="F6" s="9" t="str">
        <x:v>Don Bluth / ReadySoft (port)</x:v>
      </x:c>
      <x:c r="G6" s="9" t="str">
        <x:v>ReadySoft</x:v>
      </x:c>
      <x:c r="H6" s="9" t="n">
        <x:v>1993</x:v>
      </x:c>
      <x:c r="I6" s="9" t="str">
        <x:v>Yes</x:v>
      </x:c>
      <x:c r="J6" s="9" t="str">
        <x:v>No</x:v>
      </x:c>
      <x:c r="K6" s="9" t="str">
        <x:v>Yes</x:v>
      </x:c>
      <x:c r="L6" s="9" t="str">
        <x:v>No</x:v>
      </x:c>
      <x:c r="M6" s="9" t="str">
        <x:v>Interactive movie / QTE</x:v>
      </x:c>
      <x:c r="N6" s="9" t="str">
        <x:v>Animated</x:v>
      </x:c>
      <x:c r="O6" s="9" t="n">
        <x:v>10</x:v>
      </x:c>
      <x:c r="P6" s="9" t="str">
        <x:v>Laserdisc port</x:v>
      </x:c>
      <x:c r="Q6" s="9" t="str">
        <x:v>Released</x:v>
      </x:c>
      <x:c r="R6" s="9" t="str">
        <x:v>1983 Cinematronics laserdisc arcade game</x:v>
      </x:c>
      <x:c r="S6" s="9" t="str">
        <x:v>CD-i, 3DO, Jaguar CD, PC, every modern platform</x:v>
      </x:c>
      <x:c r="T6" s="9" t="str">
        <x:v>Don Bluth animation</x:v>
      </x:c>
      <x:c r="U6" s="9" t="n">
        <x:v>1</x:v>
      </x:c>
      <x:c r="V6" s="9" t="str">
        <x:v>No</x:v>
      </x:c>
      <x:c r="W6" s="9" t="str">
        <x:v>Controller</x:v>
      </x:c>
      <x:c r="X6" s="9" t="str">
        <x:v>Low</x:v>
      </x:c>
      <x:c r="Y6" s="9"/>
      <x:c r="Z6" s="9" t="str">
        <x:v>20–30 min</x:v>
      </x:c>
      <x:c r="AA6" s="9" t="str">
        <x:v>The most famous FMV game ever made, in what might be its ugliest port — a perfect 'how bad can it get' episode.</x:v>
      </x:c>
      <x:c r="AB6" s="9" t="str">
        <x:v>Options set lives and difficulty; later difficulty levels add scenes, and there's no move indicator. View every scene: lose all lives, then press Right, Right, Left, Left, Down, Down, Up, Up and Start to continue; the lives counter stays at five and the game plays each sequence. (GameFAQs)</x:v>
      </x:c>
      <x:c r="AC6" s="9" t="str">
        <x:v>Small, low-res, extremely compressed window; widely called the worst-looking version of the game.</x:v>
      </x:c>
      <x:c r="AD6" s="9" t="str">
        <x:v>Hard on Sega CD specifically — no move hints and sluggish input timing.</x:v>
      </x:c>
      <x:c r="AE6" s="9" t="str">
        <x:v>Single ending; room order is semi-random.</x:v>
      </x:c>
      <x:c r="AF6" s="9" t="str">
        <x:v>ReadySoft's port reuses their PC/Mac CD-ROM conversion. The Sega CD's 64-colour video limit hits Bluth's animation harder than almost any other game.</x:v>
      </x:c>
      <x:c r="AG6" s="9" t="str">
        <x:v>US and PAL (ReadySoft). PAL box is cardboard-style in some regions (verify).</x:v>
      </x:c>
      <x:c r="AH6" s="9" t="str">
        <x:v>Yes (Dragon's Lair Trilogy on every current platform)</x:v>
      </x:c>
      <x:c r="AI6" s="9" t="str">
        <x:v>Easy</x:v>
      </x:c>
      <x:c r="AJ6" s="9"/>
      <x:c r="AK6" s="9" t="str">
        <x:v>Sega CD port has heavily compressed, low-res video and no on-screen prompts; often ranked among the weakest home ports of the game.</x:v>
      </x:c>
      <x:c r="AL6" s="10" t="n">
        <x:v>16.99</x:v>
      </x:c>
      <x:c r="AM6" s="10" t="n">
        <x:v>37.99</x:v>
      </x:c>
      <x:c r="AN6" s="10" t="n">
        <x:v>68</x:v>
      </x:c>
      <x:c r="AO6" s="9" t="str">
        <x:v>2026-10-20</x:v>
      </x:c>
      <x:c r="AP6" s="11" t="str">
        <x:f>HYPERLINK("https://www.pricecharting.com/search-products?q=Dragon%27s+Lair+sega+cd&amp;type=prices","PriceCharting")</x:f>
        <x:v>PriceCharting</x:v>
      </x:c>
      <x:c r="AQ6" s="9"/>
      <x:c r="AR6" s="9"/>
      <x:c r="AS6" s="9"/>
      <x:c r="AT6" s="9"/>
      <x:c r="AU6" s="9"/>
      <x:c r="AV6" s="9"/>
      <x:c r="AW6" s="9" t="str">
        <x:v>3/10</x:v>
      </x:c>
      <x:c r="AX6" s="9" t="str">
        <x:f>HYPERLINK("https://www.sega-16.com/2007/02/dragons-lair/","Sega-16")</x:f>
        <x:v>Sega-16</x:v>
      </x:c>
      <x:c r="AY6" s="9" t="str">
        <x:v>55%</x:v>
      </x:c>
      <x:c r="AZ6" s="9" t="str">
        <x:v>3.5</x:v>
      </x:c>
      <x:c r="BA6" s="11" t="str">
        <x:f>HYPERLINK("https://www.mobygames.com/game/1503/dragons-lair/","MobyGames")</x:f>
        <x:v>MobyGames</x:v>
      </x:c>
      <x:c r="BB6" s="9"/>
      <x:c r="BC6" s="9"/>
      <x:c r="BD6" s="9"/>
      <x:c r="BE6" s="11" t="str">
        <x:f>HYPERLINK("https://en.wikipedia.org/wiki/Dragon%27s_Lair_(1983_video_game)","Wikipedia")</x:f>
        <x:v>Wikipedia</x:v>
      </x:c>
      <x:c r="BF6" s="11" t="str">
        <x:f>HYPERLINK("https://backloggd.com/search/games/Dragon%27s%20Lair/","Backloggd")</x:f>
        <x:v>Backloggd</x:v>
      </x:c>
      <x:c r="BG6" s="11" t="str">
        <x:f>HYPERLINK("https://segaretro.org/index.php?search=Dragon%27s+Lair","Sega Retro")</x:f>
        <x:v>Sega Retro</x:v>
      </x:c>
      <x:c r="BH6" s="9"/>
      <x:c r="BI6" s="12" t="str">
        <x:v>No</x:v>
      </x:c>
      <x:c r="BJ6" s="12" t="str"/>
      <x:c r="BK6" s="12" t="str">
        <x:v>No</x:v>
      </x:c>
      <x:c r="BL6" s="12" t="str"/>
      <x:c r="BM6" s="12" t="str"/>
      <x:c r="BN6" s="12" t="str"/>
      <x:c r="BO6" s="12" t="str"/>
      <x:c r="BP6" s="12" t="str"/>
      <x:c r="BQ6" s="12" t="str"/>
    </x:row>
    <x:row r="7">
      <x:c r="A7" s="9" t="str">
        <x:v>segacd-6</x:v>
      </x:c>
      <x:c r="B7" s="9" t="str">
        <x:v>space-ace</x:v>
      </x:c>
      <x:c r="C7" s="9" t="str">
        <x:v>Sega CD</x:v>
      </x:c>
      <x:c r="D7" s="9" t="str">
        <x:v>Space Ace</x:v>
      </x:c>
      <x:c r="E7" s="9"/>
      <x:c r="F7" s="9" t="str">
        <x:v>Don Bluth / ReadySoft (port)</x:v>
      </x:c>
      <x:c r="G7" s="9" t="str">
        <x:v>ReadySoft</x:v>
      </x:c>
      <x:c r="H7" s="9" t="n">
        <x:v>1994</x:v>
      </x:c>
      <x:c r="I7" s="9" t="str">
        <x:v>Yes</x:v>
      </x:c>
      <x:c r="J7" s="9" t="str">
        <x:v>No</x:v>
      </x:c>
      <x:c r="K7" s="9" t="str">
        <x:v>Yes</x:v>
      </x:c>
      <x:c r="L7" s="9" t="str">
        <x:v>No</x:v>
      </x:c>
      <x:c r="M7" s="9" t="str">
        <x:v>Interactive movie / QTE</x:v>
      </x:c>
      <x:c r="N7" s="9" t="str">
        <x:v>Animated</x:v>
      </x:c>
      <x:c r="O7" s="9" t="n">
        <x:v>10</x:v>
      </x:c>
      <x:c r="P7" s="9" t="str">
        <x:v>Laserdisc port</x:v>
      </x:c>
      <x:c r="Q7" s="9" t="str">
        <x:v>Released</x:v>
      </x:c>
      <x:c r="R7" s="9" t="str">
        <x:v>1984 Cinematronics laserdisc arcade game</x:v>
      </x:c>
      <x:c r="S7" s="9" t="str">
        <x:v>CD-i, 3DO, Jaguar CD, PC, modern platforms</x:v>
      </x:c>
      <x:c r="T7" s="9" t="str">
        <x:v>Don Bluth animation</x:v>
      </x:c>
      <x:c r="U7" s="9" t="n">
        <x:v>1</x:v>
      </x:c>
      <x:c r="V7" s="9" t="str">
        <x:v>No</x:v>
      </x:c>
      <x:c r="W7" s="9" t="str">
        <x:v>Controller</x:v>
      </x:c>
      <x:c r="X7" s="9" t="str">
        <x:v>Low</x:v>
      </x:c>
      <x:c r="Y7" s="9"/>
      <x:c r="Z7" s="9" t="str">
        <x:v>20–30 min</x:v>
      </x:c>
      <x:c r="AA7" s="9" t="str">
        <x:v>Dragon's Lair's sci-fi sibling, and the one where you can at least choose to stay small and weak for a different path.</x:v>
      </x:c>
      <x:c r="AB7" s="9" t="str">
        <x:v>Skill levels (Cadet, Captain, Space Ace) change how many scenes you play. View the video sequences: pause, then Right, Right, Left, Left, Down, Down, Up, Up, Start. (FMV World)</x:v>
      </x:c>
      <x:c r="AC7" s="9" t="str">
        <x:v>Same engine as Dragon's Lair: small, muddy window.</x:v>
      </x:c>
      <x:c r="AD7" s="9" t="str">
        <x:v>Hard; the 'Energize' branching gives two paths per scene.</x:v>
      </x:c>
      <x:c r="AE7" s="9" t="str">
        <x:v>Single ending with branching mid-scenes (Dexter vs. Ace paths).</x:v>
      </x:c>
      <x:c r="AF7" s="9" t="str">
        <x:v>Same ReadySoft tech; shipped after the console's peak so it sold poorly, hence the higher price today.</x:v>
      </x:c>
      <x:c r="AG7" s="9" t="str">
        <x:v>US and PAL (ReadySoft).</x:v>
      </x:c>
      <x:c r="AH7" s="9" t="str">
        <x:v>Yes (Dragon's Lair Trilogy)</x:v>
      </x:c>
      <x:c r="AI7" s="9" t="str">
        <x:v>Easy</x:v>
      </x:c>
      <x:c r="AJ7" s="9"/>
      <x:c r="AK7" s="9" t="str">
        <x:v>Same ReadySoft engine and video quality as the Dragon's Lair port.</x:v>
      </x:c>
      <x:c r="AL7" s="10" t="n">
        <x:v>31.45</x:v>
      </x:c>
      <x:c r="AM7" s="10" t="n">
        <x:v>49.99</x:v>
      </x:c>
      <x:c r="AN7" s="10" t="n">
        <x:v>104.43</x:v>
      </x:c>
      <x:c r="AO7" s="9" t="str">
        <x:v>2026-10-20</x:v>
      </x:c>
      <x:c r="AP7" s="11" t="str">
        <x:f>HYPERLINK("https://www.pricecharting.com/search-products?q=Space+Ace+sega+cd&amp;type=prices","PriceCharting")</x:f>
        <x:v>PriceCharting</x:v>
      </x:c>
      <x:c r="AQ7" s="9"/>
      <x:c r="AR7" s="9"/>
      <x:c r="AS7" s="9"/>
      <x:c r="AT7" s="9"/>
      <x:c r="AU7" s="9"/>
      <x:c r="AV7" s="9"/>
      <x:c r="AW7" s="9" t="str">
        <x:v>5/10</x:v>
      </x:c>
      <x:c r="AX7" s="9" t="str">
        <x:f>HYPERLINK("https://www.sega-16.com/2011/08/space-ace/","Sega-16")</x:f>
        <x:v>Sega-16</x:v>
      </x:c>
      <x:c r="AY7" s="9" t="str">
        <x:v>60%</x:v>
      </x:c>
      <x:c r="AZ7" s="9" t="str">
        <x:v>4.0</x:v>
      </x:c>
      <x:c r="BA7" s="11" t="str">
        <x:f>HYPERLINK("https://www.mobygames.com/game/6009/","MobyGames")</x:f>
        <x:v>MobyGames</x:v>
      </x:c>
      <x:c r="BB7" s="9"/>
      <x:c r="BC7" s="9"/>
      <x:c r="BD7" s="9"/>
      <x:c r="BE7" s="11" t="str">
        <x:f>HYPERLINK("https://en.wikipedia.org/wiki/Space_Ace","Wikipedia")</x:f>
        <x:v>Wikipedia</x:v>
      </x:c>
      <x:c r="BF7" s="11" t="str">
        <x:f>HYPERLINK("https://backloggd.com/search/games/Space%20Ace/","Backloggd")</x:f>
        <x:v>Backloggd</x:v>
      </x:c>
      <x:c r="BG7" s="11" t="str">
        <x:f>HYPERLINK("https://segaretro.org/index.php?search=Space+Ace","Sega Retro")</x:f>
        <x:v>Sega Retro</x:v>
      </x:c>
      <x:c r="BH7" s="9"/>
      <x:c r="BI7" s="12" t="str">
        <x:v>No</x:v>
      </x:c>
      <x:c r="BJ7" s="12" t="str"/>
      <x:c r="BK7" s="12" t="str">
        <x:v>No</x:v>
      </x:c>
      <x:c r="BL7" s="12" t="str"/>
      <x:c r="BM7" s="12" t="str"/>
      <x:c r="BN7" s="12" t="str"/>
      <x:c r="BO7" s="12" t="str"/>
      <x:c r="BP7" s="12" t="str"/>
      <x:c r="BQ7" s="12" t="str"/>
    </x:row>
    <x:row r="8">
      <x:c r="A8" s="9" t="str">
        <x:v>segacd-7</x:v>
      </x:c>
      <x:c r="B8" s="9" t="str">
        <x:v>panic</x:v>
      </x:c>
      <x:c r="C8" s="9" t="str">
        <x:v>Sega CD</x:v>
      </x:c>
      <x:c r="D8" s="9" t="str">
        <x:v>Panic!</x:v>
      </x:c>
      <x:c r="E8" s="9" t="str">
        <x:v>Switch (JP)</x:v>
      </x:c>
      <x:c r="F8" s="9" t="str">
        <x:v>Data East</x:v>
      </x:c>
      <x:c r="G8" s="9" t="str">
        <x:v>Sega</x:v>
      </x:c>
      <x:c r="H8" s="9" t="n">
        <x:v>1993</x:v>
      </x:c>
      <x:c r="I8" s="9" t="str">
        <x:v>Yes</x:v>
      </x:c>
      <x:c r="J8" s="9" t="str">
        <x:v>Yes</x:v>
      </x:c>
      <x:c r="K8" s="9" t="str">
        <x:v>No</x:v>
      </x:c>
      <x:c r="L8" s="9" t="str">
        <x:v>No</x:v>
      </x:c>
      <x:c r="M8" s="9" t="str">
        <x:v>Comedy / button-pressing</x:v>
      </x:c>
      <x:c r="N8" s="9" t="str">
        <x:v>Animated</x:v>
      </x:c>
      <x:c r="O8" s="9" t="n">
        <x:v>8</x:v>
      </x:c>
      <x:c r="P8" s="9" t="str">
        <x:v>Laserdisc port</x:v>
      </x:c>
      <x:c r="Q8" s="9" t="str">
        <x:v>Released</x:v>
      </x:c>
      <x:c r="R8" s="9" t="str">
        <x:v>Original (Data East / Sega)</x:v>
      </x:c>
      <x:c r="S8" s="9" t="str">
        <x:v>PS2 remake (JP, 2002)</x:v>
      </x:c>
      <x:c r="T8" s="9" t="str">
        <x:v>—</x:v>
      </x:c>
      <x:c r="U8" s="9" t="n">
        <x:v>1</x:v>
      </x:c>
      <x:c r="V8" s="9" t="str">
        <x:v>No</x:v>
      </x:c>
      <x:c r="W8" s="9" t="str">
        <x:v>Controller</x:v>
      </x:c>
      <x:c r="X8" s="9" t="str">
        <x:v>Low</x:v>
      </x:c>
      <x:c r="Y8" s="9"/>
      <x:c r="Z8" s="9" t="str">
        <x:v>30–60 min (non-linear)</x:v>
      </x:c>
      <x:c r="AA8" s="9" t="str">
        <x:v>Data East made a game where every button does something ridiculous, and that's the whole game — the Sega CD's weirdest release.</x:v>
      </x:c>
      <x:c r="AB8" s="9" t="str">
        <x:v>No fail state, so no cheats needed. Scene select: at the title press Right, Right, Down, Up, Left, Right, Up, Up, Left, Down; scene 411 is a hidden attract demo. (GameFAQs)</x:v>
      </x:c>
      <x:c r="AC8" s="9" t="str">
        <x:v>Full-screen hand-drawn animation played through the Sega CD; smooth, very colourful.</x:v>
      </x:c>
      <x:c r="AD8" s="9" t="str">
        <x:v>Trivial — press buttons, watch gags.</x:v>
      </x:c>
      <x:c r="AE8" s="9" t="str">
        <x:v>Multiple endings depending on which route reaches the central computer; dozens of branching rooms.</x:v>
      </x:c>
      <x:c r="AF8" s="9" t="str">
        <x:v>Titled 'Switch' in Japan; one of the few games where pressing the wrong button is the point. Hundreds of unique gag animations.</x:v>
      </x:c>
      <x:c r="AG8" s="9" t="str">
        <x:v>US 'Panic!' (Sega), JP 'Switch' (Sega). US copies are scarcer and pricier.</x:v>
      </x:c>
      <x:c r="AH8" s="9" t="str">
        <x:v>Yes (PS2 'Switch' remake, JP, 2002)</x:v>
      </x:c>
      <x:c r="AI8" s="9" t="str">
        <x:v>Easy</x:v>
      </x:c>
      <x:c r="AJ8" s="9"/>
      <x:c r="AK8" s="9" t="str">
        <x:v>Hand-animated gag reels triggered by pressing buttons; not technically a laserdisc port but plays like one. JP release 1993, NA 1994.</x:v>
      </x:c>
      <x:c r="AL8" s="10" t="n">
        <x:v>65.82</x:v>
      </x:c>
      <x:c r="AM8" s="10" t="n">
        <x:v>114.5</x:v>
      </x:c>
      <x:c r="AN8" s="10" t="n">
        <x:v>197.46</x:v>
      </x:c>
      <x:c r="AO8" s="9" t="str">
        <x:v>2026-10-20</x:v>
      </x:c>
      <x:c r="AP8" s="11" t="str">
        <x:f>HYPERLINK("https://www.pricecharting.com/search-products?q=Panic%21+sega+cd&amp;type=prices","PriceCharting")</x:f>
        <x:v>PriceCharting</x:v>
      </x:c>
      <x:c r="AQ8" s="9"/>
      <x:c r="AR8" s="9"/>
      <x:c r="AS8" s="9"/>
      <x:c r="AT8" s="9"/>
      <x:c r="AU8" s="9"/>
      <x:c r="AV8" s="9"/>
      <x:c r="AW8" s="9" t="str">
        <x:v>9/10</x:v>
      </x:c>
      <x:c r="AX8" s="9" t="str">
        <x:f>HYPERLINK("https://www.sega-16.com/2004/09/panic/","Sega-16")</x:f>
        <x:v>Sega-16</x:v>
      </x:c>
      <x:c r="AY8" s="9"/>
      <x:c r="AZ8" s="9"/>
      <x:c r="BA8" s="11" t="str">
        <x:f>HYPERLINK("https://www.mobygames.com/game/10324/panic/","MobyGames")</x:f>
        <x:v>MobyGames</x:v>
      </x:c>
      <x:c r="BB8" s="9"/>
      <x:c r="BC8" s="9"/>
      <x:c r="BD8" s="9"/>
      <x:c r="BE8" s="11" t="str">
        <x:f>HYPERLINK("https://en.wikipedia.org/wiki/Panic!_(video_game)","Wikipedia")</x:f>
        <x:v>Wikipedia</x:v>
      </x:c>
      <x:c r="BF8" s="11" t="str">
        <x:f>HYPERLINK("https://backloggd.com/search/games/Panic%21/","Backloggd")</x:f>
        <x:v>Backloggd</x:v>
      </x:c>
      <x:c r="BG8" s="11" t="str">
        <x:f>HYPERLINK("https://segaretro.org/index.php?search=Panic%21","Sega Retro")</x:f>
        <x:v>Sega Retro</x:v>
      </x:c>
      <x:c r="BH8" s="9"/>
      <x:c r="BI8" s="12" t="str">
        <x:v>No</x:v>
      </x:c>
      <x:c r="BJ8" s="12" t="str"/>
      <x:c r="BK8" s="12" t="str">
        <x:v>No</x:v>
      </x:c>
      <x:c r="BL8" s="12" t="str"/>
      <x:c r="BM8" s="12" t="str"/>
      <x:c r="BN8" s="12" t="str"/>
      <x:c r="BO8" s="12" t="str"/>
      <x:c r="BP8" s="12" t="str"/>
      <x:c r="BQ8" s="12" t="str"/>
    </x:row>
    <x:row r="9">
      <x:c r="A9" s="9" t="str">
        <x:v>segacd-8</x:v>
      </x:c>
      <x:c r="B9" s="9" t="str">
        <x:v>night-trap</x:v>
      </x:c>
      <x:c r="C9" s="9" t="str">
        <x:v>Sega CD</x:v>
      </x:c>
      <x:c r="D9" s="9" t="str">
        <x:v>Night Trap</x:v>
      </x:c>
      <x:c r="E9" s="9"/>
      <x:c r="F9" s="9" t="str">
        <x:v>Digital Pictures</x:v>
      </x:c>
      <x:c r="G9" s="9" t="str">
        <x:v>Sega (NA/EU); Digital Pictures (32X CD)</x:v>
      </x:c>
      <x:c r="H9" s="9" t="n">
        <x:v>1992</x:v>
      </x:c>
      <x:c r="I9" s="9" t="str">
        <x:v>Yes</x:v>
      </x:c>
      <x:c r="J9" s="9" t="str">
        <x:v>No</x:v>
      </x:c>
      <x:c r="K9" s="9" t="str">
        <x:v>Yes</x:v>
      </x:c>
      <x:c r="L9" s="9" t="str">
        <x:v>Yes</x:v>
      </x:c>
      <x:c r="M9" s="9" t="str">
        <x:v>Interactive movie / surveillance</x:v>
      </x:c>
      <x:c r="N9" s="9" t="str">
        <x:v>Live-action</x:v>
      </x:c>
      <x:c r="O9" s="9" t="n">
        <x:v>10</x:v>
      </x:c>
      <x:c r="P9" s="9" t="str">
        <x:v>Digital Pictures</x:v>
      </x:c>
      <x:c r="Q9" s="9" t="str">
        <x:v>Released</x:v>
      </x:c>
      <x:c r="R9" s="9" t="str">
        <x:v>Original; shot 1987 for the Hasbro NEMO console</x:v>
      </x:c>
      <x:c r="S9" s="9" t="str">
        <x:v>32X CD, 3DO, PC, Mac; 25th Anniversary remaster (PS4/Switch/Xbox/PC, 2017)</x:v>
      </x:c>
      <x:c r="T9" s="9" t="str">
        <x:v>Dana Plato</x:v>
      </x:c>
      <x:c r="U9" s="9" t="n">
        <x:v>1</x:v>
      </x:c>
      <x:c r="V9" s="9" t="str">
        <x:v>No</x:v>
      </x:c>
      <x:c r="W9" s="9" t="str">
        <x:v>Controller</x:v>
      </x:c>
      <x:c r="X9" s="9" t="str">
        <x:v>Low–Med</x:v>
      </x:c>
      <x:c r="Y9" s="9" t="str">
        <x:v>Theme song (Sunny Blaze)</x:v>
      </x:c>
      <x:c r="Z9" s="9" t="str">
        <x:v>30 min per run; 1–2 hr to beat</x:v>
      </x:c>
      <x:c r="AA9" s="9" t="str">
        <x:v>The game that got Congress involved, that is somehow also a slow surveillance puzzle about teen sleepover vampires.</x:v>
      </x:c>
      <x:c r="AB9" s="9" t="str">
        <x:v>No level or debug codes. Hidden video: during the end credits, when 'In Memory of Stephen D. Hassenfeld' appears, press Up then A five times. FMV World has a full room-and-time capture walkthrough. The 25th Anniversary edition adds a Theatre mode.</x:v>
      </x:c>
      <x:c r="AC9" s="9" t="str">
        <x:v>Small window (~1/4 screen), 64 colours, ~10 fps; the archetypal 'grainy Sega CD video'.</x:v>
      </x:c>
      <x:c r="AD9" s="9" t="str">
        <x:v>Medium — mostly memorizing a trap timing schedule.</x:v>
      </x:c>
      <x:c r="AE9" s="9" t="str">
        <x:v>One true ending plus several 'game over' sequences (each room's trap failures, Mr. Martin's warnings).</x:v>
      </x:c>
      <x:c r="AF9" s="9" t="str">
        <x:v>Shot in 1987 for Hasbro's cancelled 'Control-Vision' VHS console; budget ~$1.5M. Dana Plato's final notable role. Pulled from shelves in 1993 after the Senate hearings.</x:v>
      </x:c>
      <x:c r="AG9" s="9" t="str">
        <x:v>Original 1992 box, 1993 'Red' re-release box, 32X CD (2 discs), Limited Run 2017/2018 reprints (Sega CD, 32X, premium editions). PriceCharting prices each separately.</x:v>
      </x:c>
      <x:c r="AH9" s="9" t="str">
        <x:v>Yes (Night Trap 25th Anniversary — PS4, Switch, Xbox, PC)</x:v>
      </x:c>
      <x:c r="AI9" s="9" t="str">
        <x:v>Easy</x:v>
      </x:c>
      <x:c r="AJ9" s="9"/>
      <x:c r="AK9" s="9" t="str">
        <x:v>The game that triggered the 1993 US Senate hearings. Later 32X CD and 2017 25th Anniversary re-release.</x:v>
      </x:c>
      <x:c r="AL9" s="10" t="n">
        <x:v>24.61</x:v>
      </x:c>
      <x:c r="AM9" s="10" t="n">
        <x:v>122.49</x:v>
      </x:c>
      <x:c r="AN9" s="10" t="n">
        <x:v>220</x:v>
      </x:c>
      <x:c r="AO9" s="9" t="str">
        <x:v>2026-10-20</x:v>
      </x:c>
      <x:c r="AP9" s="11" t="str">
        <x:f>HYPERLINK("https://www.pricecharting.com/search-products?q=Night+Trap+sega+cd&amp;type=prices","PriceCharting")</x:f>
        <x:v>PriceCharting</x:v>
      </x:c>
      <x:c r="AQ9" s="9"/>
      <x:c r="AR9" s="9"/>
      <x:c r="AS9" s="9"/>
      <x:c r="AT9" s="9"/>
      <x:c r="AU9" s="9"/>
      <x:c r="AV9" s="9"/>
      <x:c r="AW9" s="9" t="str">
        <x:v>3/10</x:v>
      </x:c>
      <x:c r="AX9" s="9" t="str">
        <x:f>HYPERLINK("https://www.sega-16.com/2012/04/night-trap/","Sega-16")</x:f>
        <x:v>Sega-16</x:v>
      </x:c>
      <x:c r="AY9" s="9" t="str">
        <x:v>67%</x:v>
      </x:c>
      <x:c r="AZ9" s="9" t="str">
        <x:v>3.4</x:v>
      </x:c>
      <x:c r="BA9" s="11" t="str">
        <x:f>HYPERLINK("https://www.mobygames.com/game/7276/night-trap/","MobyGames")</x:f>
        <x:v>MobyGames</x:v>
      </x:c>
      <x:c r="BB9" s="9"/>
      <x:c r="BC9" s="9"/>
      <x:c r="BD9" s="9"/>
      <x:c r="BE9" s="11" t="str">
        <x:f>HYPERLINK("https://en.wikipedia.org/wiki/Night_Trap","Wikipedia")</x:f>
        <x:v>Wikipedia</x:v>
      </x:c>
      <x:c r="BF9" s="11" t="str">
        <x:f>HYPERLINK("https://backloggd.com/search/games/Night%20Trap/","Backloggd")</x:f>
        <x:v>Backloggd</x:v>
      </x:c>
      <x:c r="BG9" s="11" t="str">
        <x:f>HYPERLINK("https://segaretro.org/index.php?search=Night+Trap","Sega Retro")</x:f>
        <x:v>Sega Retro</x:v>
      </x:c>
      <x:c r="BH9" s="9"/>
      <x:c r="BI9" s="12" t="str">
        <x:v>No</x:v>
      </x:c>
      <x:c r="BJ9" s="12" t="str"/>
      <x:c r="BK9" s="12" t="str">
        <x:v>No</x:v>
      </x:c>
      <x:c r="BL9" s="12" t="str"/>
      <x:c r="BM9" s="12" t="str"/>
      <x:c r="BN9" s="12" t="str"/>
      <x:c r="BO9" s="12" t="str"/>
      <x:c r="BP9" s="12" t="str"/>
      <x:c r="BQ9" s="12" t="str"/>
    </x:row>
    <x:row r="10">
      <x:c r="A10" s="9" t="str">
        <x:v>segacd-9</x:v>
      </x:c>
      <x:c r="B10" s="9" t="str">
        <x:v>sewer-shark</x:v>
      </x:c>
      <x:c r="C10" s="9" t="str">
        <x:v>Sega CD</x:v>
      </x:c>
      <x:c r="D10" s="9" t="str">
        <x:v>Sewer Shark</x:v>
      </x:c>
      <x:c r="E10" s="9"/>
      <x:c r="F10" s="9" t="str">
        <x:v>Digital Pictures</x:v>
      </x:c>
      <x:c r="G10" s="9" t="str">
        <x:v>Sony Imagesoft</x:v>
      </x:c>
      <x:c r="H10" s="9" t="n">
        <x:v>1992</x:v>
      </x:c>
      <x:c r="I10" s="9" t="str">
        <x:v>Yes</x:v>
      </x:c>
      <x:c r="J10" s="9" t="str">
        <x:v>No</x:v>
      </x:c>
      <x:c r="K10" s="9" t="str">
        <x:v>Yes</x:v>
      </x:c>
      <x:c r="L10" s="9" t="str">
        <x:v>No</x:v>
      </x:c>
      <x:c r="M10" s="9" t="str">
        <x:v>Rail shooter</x:v>
      </x:c>
      <x:c r="N10" s="9" t="str">
        <x:v>Live-action</x:v>
      </x:c>
      <x:c r="O10" s="9" t="n">
        <x:v>10</x:v>
      </x:c>
      <x:c r="P10" s="9" t="str">
        <x:v>Digital Pictures</x:v>
      </x:c>
      <x:c r="Q10" s="9" t="str">
        <x:v>Released</x:v>
      </x:c>
      <x:c r="R10" s="9" t="str">
        <x:v>Original; shot 1987 for Hasbro NEMO</x:v>
      </x:c>
      <x:c r="S10" s="9" t="str">
        <x:v>3DO</x:v>
      </x:c>
      <x:c r="T10" s="9" t="str">
        <x:v>Robert Costanzo, David Underwood</x:v>
      </x:c>
      <x:c r="U10" s="9" t="n">
        <x:v>1</x:v>
      </x:c>
      <x:c r="V10" s="9" t="str">
        <x:v>No</x:v>
      </x:c>
      <x:c r="W10" s="9" t="str">
        <x:v>Controller</x:v>
      </x:c>
      <x:c r="X10" s="9" t="str">
        <x:v>Low</x:v>
      </x:c>
      <x:c r="Y10" s="9"/>
      <x:c r="Z10" s="9" t="str">
        <x:v>45–60 min</x:v>
      </x:c>
      <x:c r="AA10" s="9" t="str">
        <x:v>The pack-in game millions of people got with their Sega CD, where a guy named Ghost yells at you in a sewer for an hour.</x:v>
      </x:c>
      <x:c r="AB10" s="9" t="str">
        <x:v>Continue: after reaching the Exterminator or Beach Bum level, lose and press A+C+Start as the credits begin to resume at the last level (later pressings: Start at the credits after Ratbreath). Taking three left (9) turns at the very start doesn't kill you. Track 2 on an audio CD player has a hidden 'Hello, Digital Pictures' message. (FMV World)</x:v>
      </x:c>
      <x:c r="AC10" s="9" t="str">
        <x:v>Full-screen with HUD overlay; among the largest video windows on the system.</x:v>
      </x:c>
      <x:c r="AD10" s="9" t="str">
        <x:v>Medium-hard — route memorization, instant death on missed turns.</x:v>
      </x:c>
      <x:c r="AE10" s="9" t="str">
        <x:v>Single ending ('Solar City'); a 'bad' outcome if you fail the final run.</x:v>
      </x:c>
      <x:c r="AF10" s="9" t="str">
        <x:v>Directed by John Dykstra (Star Wars VFX). Also a Hasbro Control-Vision leftover. Became the Sega CD's bundled title from 1993 on.</x:v>
      </x:c>
      <x:c r="AG10" s="9" t="str">
        <x:v>Original box, Not-For-Resale pack-in version (cheaper), PAL release.</x:v>
      </x:c>
      <x:c r="AH10" s="9" t="str">
        <x:v>No (3DO port only)</x:v>
      </x:c>
      <x:c r="AI10" s="9" t="str">
        <x:v>Easy</x:v>
      </x:c>
      <x:c r="AJ10" s="9"/>
      <x:c r="AK10" s="9" t="str">
        <x:v>Pack-in title for later Sega CD bundles, so very common and cheap.</x:v>
      </x:c>
      <x:c r="AL10" s="10" t="n">
        <x:v>7.95</x:v>
      </x:c>
      <x:c r="AM10" s="10" t="n">
        <x:v>39</x:v>
      </x:c>
      <x:c r="AN10" s="10" t="n">
        <x:v>132</x:v>
      </x:c>
      <x:c r="AO10" s="9" t="str">
        <x:v>2026-10-20</x:v>
      </x:c>
      <x:c r="AP10" s="11" t="str">
        <x:f>HYPERLINK("https://www.pricecharting.com/search-products?q=Sewer+Shark+sega+cd&amp;type=prices","PriceCharting")</x:f>
        <x:v>PriceCharting</x:v>
      </x:c>
      <x:c r="AQ10" s="9"/>
      <x:c r="AR10" s="9"/>
      <x:c r="AS10" s="9"/>
      <x:c r="AT10" s="9"/>
      <x:c r="AU10" s="9"/>
      <x:c r="AV10" s="9"/>
      <x:c r="AW10" s="9" t="str">
        <x:v>7/10</x:v>
      </x:c>
      <x:c r="AX10" s="9" t="str">
        <x:f>HYPERLINK("https://www.sega-16.com/2008/08/sewer-shark/","Sega-16")</x:f>
        <x:v>Sega-16</x:v>
      </x:c>
      <x:c r="AY10" s="9" t="str">
        <x:v>63%</x:v>
      </x:c>
      <x:c r="AZ10" s="9" t="str">
        <x:v>3.0</x:v>
      </x:c>
      <x:c r="BA10" s="11" t="str">
        <x:f>HYPERLINK("https://www.mobygames.com/game/7451/sewer-shark/","MobyGames")</x:f>
        <x:v>MobyGames</x:v>
      </x:c>
      <x:c r="BB10" s="9"/>
      <x:c r="BC10" s="9"/>
      <x:c r="BD10" s="9"/>
      <x:c r="BE10" s="11" t="str">
        <x:f>HYPERLINK("https://en.wikipedia.org/wiki/Sewer_Shark","Wikipedia")</x:f>
        <x:v>Wikipedia</x:v>
      </x:c>
      <x:c r="BF10" s="11" t="str">
        <x:f>HYPERLINK("https://backloggd.com/search/games/Sewer%20Shark/","Backloggd")</x:f>
        <x:v>Backloggd</x:v>
      </x:c>
      <x:c r="BG10" s="11" t="str">
        <x:f>HYPERLINK("https://segaretro.org/index.php?search=Sewer+Shark","Sega Retro")</x:f>
        <x:v>Sega Retro</x:v>
      </x:c>
      <x:c r="BH10" s="9"/>
      <x:c r="BI10" s="12" t="str">
        <x:v>No</x:v>
      </x:c>
      <x:c r="BJ10" s="12" t="str"/>
      <x:c r="BK10" s="12" t="str">
        <x:v>No</x:v>
      </x:c>
      <x:c r="BL10" s="12" t="str"/>
      <x:c r="BM10" s="12" t="str"/>
      <x:c r="BN10" s="12" t="str"/>
      <x:c r="BO10" s="12" t="str"/>
      <x:c r="BP10" s="12" t="str"/>
      <x:c r="BQ10" s="12" t="str"/>
    </x:row>
    <x:row r="11">
      <x:c r="A11" s="9" t="str">
        <x:v>segacd-10</x:v>
      </x:c>
      <x:c r="B11" s="9" t="str">
        <x:v>double-switch</x:v>
      </x:c>
      <x:c r="C11" s="9" t="str">
        <x:v>Sega CD</x:v>
      </x:c>
      <x:c r="D11" s="9" t="str">
        <x:v>Double Switch</x:v>
      </x:c>
      <x:c r="E11" s="9"/>
      <x:c r="F11" s="9" t="str">
        <x:v>Digital Pictures</x:v>
      </x:c>
      <x:c r="G11" s="9" t="str">
        <x:v>Sega</x:v>
      </x:c>
      <x:c r="H11" s="9" t="n">
        <x:v>1993</x:v>
      </x:c>
      <x:c r="I11" s="9" t="str">
        <x:v>Yes</x:v>
      </x:c>
      <x:c r="J11" s="9" t="str">
        <x:v>No</x:v>
      </x:c>
      <x:c r="K11" s="9" t="str">
        <x:v>Yes</x:v>
      </x:c>
      <x:c r="L11" s="9" t="str">
        <x:v>No</x:v>
      </x:c>
      <x:c r="M11" s="9" t="str">
        <x:v>Interactive movie / surveillance</x:v>
      </x:c>
      <x:c r="N11" s="9" t="str">
        <x:v>Live-action</x:v>
      </x:c>
      <x:c r="O11" s="9" t="n">
        <x:v>10</x:v>
      </x:c>
      <x:c r="P11" s="9" t="str">
        <x:v>Digital Pictures</x:v>
      </x:c>
      <x:c r="Q11" s="9" t="str">
        <x:v>Released</x:v>
      </x:c>
      <x:c r="R11" s="9" t="str">
        <x:v>Original</x:v>
      </x:c>
      <x:c r="S11" s="9" t="str">
        <x:v>PC, Mac, Saturn (JP); 25th Anniversary remaster (PS4/Switch/PC, 2018)</x:v>
      </x:c>
      <x:c r="T11" s="9" t="str">
        <x:v>Corey Haim, Debbie Harry, R. Lee Ermey, Camille Cooper</x:v>
      </x:c>
      <x:c r="U11" s="9" t="n">
        <x:v>1</x:v>
      </x:c>
      <x:c r="V11" s="9" t="str">
        <x:v>No</x:v>
      </x:c>
      <x:c r="W11" s="9" t="str">
        <x:v>Controller</x:v>
      </x:c>
      <x:c r="X11" s="9" t="str">
        <x:v>Low</x:v>
      </x:c>
      <x:c r="Y11" s="9"/>
      <x:c r="Z11" s="9" t="str">
        <x:v>45–90 min</x:v>
      </x:c>
      <x:c r="AA11" s="9" t="str">
        <x:v>Night Trap's sequel traded vampires for Corey Haim trapped in a basement and Debbie Harry as a shady landlord.</x:v>
      </x:c>
      <x:c r="AB11" s="9" t="str">
        <x:v>No codes confirmed for the Sega CD disc; FMV World has a full act-by-act trap walkthrough. The 25th Anniversary version includes a scene viewer.</x:v>
      </x:c>
      <x:c r="AC11" s="9" t="str">
        <x:v>Larger window than Night Trap, ~15 fps, still 64 colours.</x:v>
      </x:c>
      <x:c r="AD11" s="9" t="str">
        <x:v>Medium — three acts; act 3 timing is tight.</x:v>
      </x:c>
      <x:c r="AE11" s="9" t="str">
        <x:v>Several failure endings; one success. Eddie's fate varies.</x:v>
      </x:c>
      <x:c r="AF11" s="9" t="str">
        <x:v>Directed by Mary Lambert (Pet Sematary). Reportedly Digital Pictures' best-selling title after Night Trap.</x:v>
      </x:c>
      <x:c r="AG11" s="9" t="str">
        <x:v>US, PAL; Saturn JP port; Limited Run reprint (2018).</x:v>
      </x:c>
      <x:c r="AH11" s="9" t="str">
        <x:v>Yes (Double Switch 25th Anniversary — PS4, Switch, PC)</x:v>
      </x:c>
      <x:c r="AI11" s="9" t="str">
        <x:v>Easy</x:v>
      </x:c>
      <x:c r="AJ11" s="9"/>
      <x:c r="AK11" s="9" t="str">
        <x:v>Spiritual sequel to Night Trap. Stars Corey Haim and Debbie Harry.</x:v>
      </x:c>
      <x:c r="AL11" s="10" t="n">
        <x:v>9.25</x:v>
      </x:c>
      <x:c r="AM11" s="10" t="n">
        <x:v>20.5</x:v>
      </x:c>
      <x:c r="AN11" s="10" t="n">
        <x:v>28</x:v>
      </x:c>
      <x:c r="AO11" s="9" t="str">
        <x:v>2026-10-20</x:v>
      </x:c>
      <x:c r="AP11" s="11" t="str">
        <x:f>HYPERLINK("https://www.pricecharting.com/search-products?q=Double+Switch+sega+cd&amp;type=prices","PriceCharting")</x:f>
        <x:v>PriceCharting</x:v>
      </x:c>
      <x:c r="AQ11" s="9"/>
      <x:c r="AR11" s="9"/>
      <x:c r="AS11" s="9"/>
      <x:c r="AT11" s="9"/>
      <x:c r="AU11" s="9"/>
      <x:c r="AV11" s="9"/>
      <x:c r="AW11" s="9" t="str">
        <x:v>5/10</x:v>
      </x:c>
      <x:c r="AX11" s="9" t="str">
        <x:f>HYPERLINK("https://www.sega-16.com/2007/04/double-switch/","Sega-16")</x:f>
        <x:v>Sega-16</x:v>
      </x:c>
      <x:c r="AY11" s="9" t="str">
        <x:v>65%</x:v>
      </x:c>
      <x:c r="AZ11" s="9" t="str">
        <x:v>3.2</x:v>
      </x:c>
      <x:c r="BA11" s="11" t="str">
        <x:f>HYPERLINK("https://www.mobygames.com/game/9315/double-switch/","MobyGames")</x:f>
        <x:v>MobyGames</x:v>
      </x:c>
      <x:c r="BB11" s="9"/>
      <x:c r="BC11" s="9"/>
      <x:c r="BD11" s="9"/>
      <x:c r="BE11" s="11" t="str">
        <x:f>HYPERLINK("https://en.wikipedia.org/wiki/Double_Switch_(video_game)","Wikipedia")</x:f>
        <x:v>Wikipedia</x:v>
      </x:c>
      <x:c r="BF11" s="11" t="str">
        <x:f>HYPERLINK("https://backloggd.com/search/games/Double%20Switch/","Backloggd")</x:f>
        <x:v>Backloggd</x:v>
      </x:c>
      <x:c r="BG11" s="11" t="str">
        <x:f>HYPERLINK("https://segaretro.org/index.php?search=Double+Switch","Sega Retro")</x:f>
        <x:v>Sega Retro</x:v>
      </x:c>
      <x:c r="BH11" s="9"/>
      <x:c r="BI11" s="12" t="str">
        <x:v>Yes</x:v>
      </x:c>
      <x:c r="BJ11" s="12" t="str">
        <x:v>Original disc</x:v>
      </x:c>
      <x:c r="BK11" s="12" t="str">
        <x:v>No</x:v>
      </x:c>
      <x:c r="BL11" s="12" t="str"/>
      <x:c r="BM11" s="12" t="str"/>
      <x:c r="BN11" s="12" t="str"/>
      <x:c r="BO11" s="12" t="str"/>
      <x:c r="BP11" s="12" t="str"/>
      <x:c r="BQ11" s="12" t="str"/>
    </x:row>
    <x:row r="12">
      <x:c r="A12" s="9" t="str">
        <x:v>segacd-11</x:v>
      </x:c>
      <x:c r="B12" s="9" t="str">
        <x:v>prize-fighter</x:v>
      </x:c>
      <x:c r="C12" s="9" t="str">
        <x:v>Sega CD</x:v>
      </x:c>
      <x:c r="D12" s="9" t="str">
        <x:v>Prize Fighter</x:v>
      </x:c>
      <x:c r="E12" s="9"/>
      <x:c r="F12" s="9" t="str">
        <x:v>Digital Pictures</x:v>
      </x:c>
      <x:c r="G12" s="9" t="str">
        <x:v>Sega</x:v>
      </x:c>
      <x:c r="H12" s="9" t="n">
        <x:v>1993</x:v>
      </x:c>
      <x:c r="I12" s="9" t="str">
        <x:v>Yes</x:v>
      </x:c>
      <x:c r="J12" s="9" t="str">
        <x:v>No</x:v>
      </x:c>
      <x:c r="K12" s="9" t="str">
        <x:v>Yes</x:v>
      </x:c>
      <x:c r="L12" s="9" t="str">
        <x:v>No</x:v>
      </x:c>
      <x:c r="M12" s="9" t="str">
        <x:v>Boxing</x:v>
      </x:c>
      <x:c r="N12" s="9" t="str">
        <x:v>Live-action</x:v>
      </x:c>
      <x:c r="O12" s="9" t="n">
        <x:v>10</x:v>
      </x:c>
      <x:c r="P12" s="9" t="str">
        <x:v>Digital Pictures</x:v>
      </x:c>
      <x:c r="Q12" s="9" t="str">
        <x:v>Released</x:v>
      </x:c>
      <x:c r="R12" s="9" t="str">
        <x:v>Original</x:v>
      </x:c>
      <x:c r="S12" s="9" t="str">
        <x:v>PC, Saturn (JP)</x:v>
      </x:c>
      <x:c r="T12" s="9" t="str">
        <x:v>—</x:v>
      </x:c>
      <x:c r="U12" s="9" t="n">
        <x:v>2</x:v>
      </x:c>
      <x:c r="V12" s="9" t="str">
        <x:v>No</x:v>
      </x:c>
      <x:c r="W12" s="9" t="str">
        <x:v>Controller</x:v>
      </x:c>
      <x:c r="X12" s="9" t="str">
        <x:v>Low</x:v>
      </x:c>
      <x:c r="Y12" s="9"/>
      <x:c r="Z12" s="9" t="str">
        <x:v>1–2 hr</x:v>
      </x:c>
      <x:c r="AA12" s="9" t="str">
        <x:v>A first-person boxing movie in noir black-and-white — the one Digital Pictures game that looks intentional.</x:v>
      </x:c>
      <x:c r="AB12" s="9" t="str">
        <x:v>Bonus video: in the Options menu press and hold A, B, C and Right, in that order, and keep holding until the sequence plays. (FMV World)</x:v>
      </x:c>
      <x:c r="AC12" s="9" t="str">
        <x:v>Full-screen black-and-white video, decent frame rate; the B&amp;W choice hides compression well.</x:v>
      </x:c>
      <x:c r="AD12" s="9" t="str">
        <x:v>Medium — rhythm-based; blocking windows are generous once learned.</x:v>
      </x:c>
      <x:c r="AE12" s="9" t="str">
        <x:v>Win or lose each bout; title fight ending vs. loss cutscenes.</x:v>
      </x:c>
      <x:c r="AF12" s="9" t="str">
        <x:v>Director Ron Stein (fight choreographer on Rocky films). 2 discs because of the volume of branching fight footage.</x:v>
      </x:c>
      <x:c r="AG12" s="9" t="str">
        <x:v>Original 2-disc, Not-For-Resale pack-in (cheap), PAL.</x:v>
      </x:c>
      <x:c r="AH12" s="9" t="str">
        <x:v>Yes (PS4, PS5 and Windows, 2026)</x:v>
      </x:c>
      <x:c r="AI12" s="9" t="str">
        <x:v>Easy</x:v>
      </x:c>
      <x:c r="AJ12" s="9"/>
      <x:c r="AK12" s="9" t="str">
        <x:v>Black-and-white first-person boxing. 2-disc set.</x:v>
      </x:c>
      <x:c r="AL12" s="10" t="n">
        <x:v>6.67</x:v>
      </x:c>
      <x:c r="AM12" s="10" t="n">
        <x:v>17.99</x:v>
      </x:c>
      <x:c r="AN12" s="10" t="n">
        <x:v>37.93</x:v>
      </x:c>
      <x:c r="AO12" s="9" t="str">
        <x:v>2026-10-20</x:v>
      </x:c>
      <x:c r="AP12" s="11" t="str">
        <x:f>HYPERLINK("https://www.pricecharting.com/search-products?q=Prize+Fighter+sega+cd&amp;type=prices","PriceCharting")</x:f>
        <x:v>PriceCharting</x:v>
      </x:c>
      <x:c r="AQ12" s="9"/>
      <x:c r="AR12" s="9"/>
      <x:c r="AS12" s="9"/>
      <x:c r="AT12" s="9"/>
      <x:c r="AU12" s="9"/>
      <x:c r="AV12" s="9"/>
      <x:c r="AW12" s="9" t="str">
        <x:v>5/10</x:v>
      </x:c>
      <x:c r="AX12" s="9" t="str">
        <x:f>HYPERLINK("https://www.sega-16.com/2010/06/prize-fighter/","Sega-16")</x:f>
        <x:v>Sega-16</x:v>
      </x:c>
      <x:c r="AY12" s="9" t="str">
        <x:v>57%</x:v>
      </x:c>
      <x:c r="AZ12" s="9" t="str">
        <x:v>2.4</x:v>
      </x:c>
      <x:c r="BA12" s="11" t="str">
        <x:f>HYPERLINK("https://www.mobygames.com/game/20468/","MobyGames")</x:f>
        <x:v>MobyGames</x:v>
      </x:c>
      <x:c r="BB12" s="9"/>
      <x:c r="BC12" s="9"/>
      <x:c r="BD12" s="9"/>
      <x:c r="BE12" s="11" t="str">
        <x:f>HYPERLINK("https://en.wikipedia.org/wiki/Prize_Fighter_(video_game)","Wikipedia")</x:f>
        <x:v>Wikipedia</x:v>
      </x:c>
      <x:c r="BF12" s="11" t="str">
        <x:f>HYPERLINK("https://backloggd.com/search/games/Prize%20Fighter/","Backloggd")</x:f>
        <x:v>Backloggd</x:v>
      </x:c>
      <x:c r="BG12" s="11" t="str">
        <x:f>HYPERLINK("https://segaretro.org/index.php?search=Prize+Fighter","Sega Retro")</x:f>
        <x:v>Sega Retro</x:v>
      </x:c>
      <x:c r="BH12" s="9"/>
      <x:c r="BI12" s="12" t="str">
        <x:v>Yes</x:v>
      </x:c>
      <x:c r="BJ12" s="12" t="str">
        <x:v>Original disc</x:v>
      </x:c>
      <x:c r="BK12" s="12" t="str">
        <x:v>No</x:v>
      </x:c>
      <x:c r="BL12" s="12" t="str"/>
      <x:c r="BM12" s="12" t="str"/>
      <x:c r="BN12" s="12" t="str"/>
      <x:c r="BO12" s="12" t="str"/>
      <x:c r="BP12" s="12" t="str"/>
      <x:c r="BQ12" s="12" t="str"/>
    </x:row>
    <x:row r="13">
      <x:c r="A13" s="9" t="str">
        <x:v>segacd-12</x:v>
      </x:c>
      <x:c r="B13" s="9" t="str">
        <x:v>ground-zero-texas</x:v>
      </x:c>
      <x:c r="C13" s="9" t="str">
        <x:v>Sega CD</x:v>
      </x:c>
      <x:c r="D13" s="9" t="str">
        <x:v>Ground Zero Texas</x:v>
      </x:c>
      <x:c r="E13" s="9"/>
      <x:c r="F13" s="9" t="str">
        <x:v>Digital Pictures</x:v>
      </x:c>
      <x:c r="G13" s="9" t="str">
        <x:v>Sony Imagesoft</x:v>
      </x:c>
      <x:c r="H13" s="9" t="n">
        <x:v>1993</x:v>
      </x:c>
      <x:c r="I13" s="9" t="str">
        <x:v>Yes</x:v>
      </x:c>
      <x:c r="J13" s="9" t="str">
        <x:v>No</x:v>
      </x:c>
      <x:c r="K13" s="9" t="str">
        <x:v>Yes</x:v>
      </x:c>
      <x:c r="L13" s="9" t="str">
        <x:v>No</x:v>
      </x:c>
      <x:c r="M13" s="9" t="str">
        <x:v>Rail shooter / surveillance</x:v>
      </x:c>
      <x:c r="N13" s="9" t="str">
        <x:v>Live-action</x:v>
      </x:c>
      <x:c r="O13" s="9" t="n">
        <x:v>10</x:v>
      </x:c>
      <x:c r="P13" s="9" t="str">
        <x:v>Digital Pictures</x:v>
      </x:c>
      <x:c r="Q13" s="9" t="str">
        <x:v>Released</x:v>
      </x:c>
      <x:c r="R13" s="9" t="str">
        <x:v>Original</x:v>
      </x:c>
      <x:c r="S13" s="9" t="str">
        <x:v>'Nuclear Edition' remaster (PS4/Switch/PC, 2021)</x:v>
      </x:c>
      <x:c r="T13" s="9" t="str">
        <x:v>dir. Dwight H. Little (Halloween 4)</x:v>
      </x:c>
      <x:c r="U13" s="9" t="n">
        <x:v>2</x:v>
      </x:c>
      <x:c r="V13" s="9" t="str">
        <x:v>No</x:v>
      </x:c>
      <x:c r="W13" s="9" t="str">
        <x:v>Controller</x:v>
      </x:c>
      <x:c r="X13" s="9" t="str">
        <x:v>Low</x:v>
      </x:c>
      <x:c r="Y13" s="9"/>
      <x:c r="Z13" s="9" t="str">
        <x:v>1–2 hr</x:v>
      </x:c>
      <x:c r="AA13" s="9" t="str">
        <x:v>Invasion of the Body Snatchers done as a Night Trap shooter, directed by the guy who made Halloween 4.</x:v>
      </x:c>
      <x:c r="AB13" s="9" t="str">
        <x:v>Level select: power on with Disc 2 in; at the 'Remove CD 2 Insert CD 1' message press A, B, Right, A, C, A, Down, A, B, Right, A (ABRACADABRA). Bonus video: lose on purpose and when the credits appear press C, B, A in a sweep, then Start. (FMV World)</x:v>
      </x:c>
      <x:c r="AC13" s="9" t="str">
        <x:v>Full-screen quadrants, ~10 fps per feed; noticeably grainy.</x:v>
      </x:c>
      <x:c r="AD13" s="9" t="str">
        <x:v>Hard — managing four cameras while being shot at.</x:v>
      </x:c>
      <x:c r="AE13" s="9" t="str">
        <x:v>Single ending with failure states per 'day'.</x:v>
      </x:c>
      <x:c r="AF13" s="9" t="str">
        <x:v>Budget reportedly over $3M, the largest of any Sega CD game. Sony Imagesoft marketed it heavily; 2021 'Nuclear Edition' remaster.</x:v>
      </x:c>
      <x:c r="AG13" s="9" t="str">
        <x:v>Original 2-disc, PAL; Limited Run 2021 reprint and premium edition.</x:v>
      </x:c>
      <x:c r="AH13" s="9" t="str">
        <x:v>Yes (Ground Zero Texas: Nuclear Edition — PS4, Switch, PC)</x:v>
      </x:c>
      <x:c r="AI13" s="9" t="str">
        <x:v>Easy</x:v>
      </x:c>
      <x:c r="AJ13" s="9"/>
      <x:c r="AK13" s="9" t="str">
        <x:v>Alien invasion shooter across four camera feeds. 2-disc set.</x:v>
      </x:c>
      <x:c r="AL13" s="10" t="n">
        <x:v>11.12</x:v>
      </x:c>
      <x:c r="AM13" s="10" t="n">
        <x:v>18.34</x:v>
      </x:c>
      <x:c r="AN13" s="10" t="n">
        <x:v>51.5</x:v>
      </x:c>
      <x:c r="AO13" s="9" t="str">
        <x:v>2026-10-20</x:v>
      </x:c>
      <x:c r="AP13" s="11" t="str">
        <x:f>HYPERLINK("https://www.pricecharting.com/search-products?q=Ground+Zero+Texas+sega+cd&amp;type=prices","PriceCharting")</x:f>
        <x:v>PriceCharting</x:v>
      </x:c>
      <x:c r="AQ13" s="9"/>
      <x:c r="AR13" s="9"/>
      <x:c r="AS13" s="9"/>
      <x:c r="AT13" s="9"/>
      <x:c r="AU13" s="9"/>
      <x:c r="AV13" s="9"/>
      <x:c r="AW13" s="9" t="str">
        <x:v>2/10</x:v>
      </x:c>
      <x:c r="AX13" s="9" t="str">
        <x:f>HYPERLINK("https://www.sega-16.com/2007/03/ground-zero-texas/","Sega-16")</x:f>
        <x:v>Sega-16</x:v>
      </x:c>
      <x:c r="AY13" s="9" t="str">
        <x:v>66%</x:v>
      </x:c>
      <x:c r="AZ13" s="9" t="str">
        <x:v>3.2</x:v>
      </x:c>
      <x:c r="BA13" s="11" t="str">
        <x:f>HYPERLINK("https://www.mobygames.com/game/23866/ground-zero-texas/","MobyGames")</x:f>
        <x:v>MobyGames</x:v>
      </x:c>
      <x:c r="BB13" s="9"/>
      <x:c r="BC13" s="9"/>
      <x:c r="BD13" s="9"/>
      <x:c r="BE13" s="11" t="str">
        <x:f>HYPERLINK("https://en.wikipedia.org/wiki/Ground_Zero:_Texas","Wikipedia")</x:f>
        <x:v>Wikipedia</x:v>
      </x:c>
      <x:c r="BF13" s="11" t="str">
        <x:f>HYPERLINK("https://backloggd.com/search/games/Ground%20Zero%20Texas/","Backloggd")</x:f>
        <x:v>Backloggd</x:v>
      </x:c>
      <x:c r="BG13" s="11" t="str">
        <x:f>HYPERLINK("https://segaretro.org/index.php?search=Ground+Zero+Texas","Sega Retro")</x:f>
        <x:v>Sega Retro</x:v>
      </x:c>
      <x:c r="BH13" s="9"/>
      <x:c r="BI13" s="12" t="str">
        <x:v>Yes</x:v>
      </x:c>
      <x:c r="BJ13" s="12" t="str">
        <x:v>Original disc</x:v>
      </x:c>
      <x:c r="BK13" s="12" t="str">
        <x:v>No</x:v>
      </x:c>
      <x:c r="BL13" s="12" t="str"/>
      <x:c r="BM13" s="12" t="str"/>
      <x:c r="BN13" s="12" t="str"/>
      <x:c r="BO13" s="12" t="str"/>
      <x:c r="BP13" s="12" t="str"/>
      <x:c r="BQ13" s="12" t="str"/>
    </x:row>
    <x:row r="14">
      <x:c r="A14" s="9" t="str">
        <x:v>segacd-13</x:v>
      </x:c>
      <x:c r="B14" s="9" t="str">
        <x:v>corpse-killer</x:v>
      </x:c>
      <x:c r="C14" s="9" t="str">
        <x:v>Sega CD</x:v>
      </x:c>
      <x:c r="D14" s="9" t="str">
        <x:v>Corpse Killer</x:v>
      </x:c>
      <x:c r="E14" s="9"/>
      <x:c r="F14" s="9" t="str">
        <x:v>Digital Pictures</x:v>
      </x:c>
      <x:c r="G14" s="9" t="str">
        <x:v>Digital Pictures</x:v>
      </x:c>
      <x:c r="H14" s="9" t="n">
        <x:v>1994</x:v>
      </x:c>
      <x:c r="I14" s="9" t="str">
        <x:v>Yes</x:v>
      </x:c>
      <x:c r="J14" s="9" t="str">
        <x:v>No</x:v>
      </x:c>
      <x:c r="K14" s="9" t="str">
        <x:v>Yes</x:v>
      </x:c>
      <x:c r="L14" s="9" t="str">
        <x:v>Yes</x:v>
      </x:c>
      <x:c r="M14" s="9" t="str">
        <x:v>Rail shooter</x:v>
      </x:c>
      <x:c r="N14" s="9" t="str">
        <x:v>Live-action</x:v>
      </x:c>
      <x:c r="O14" s="9" t="n">
        <x:v>10</x:v>
      </x:c>
      <x:c r="P14" s="9" t="str">
        <x:v>Digital Pictures</x:v>
      </x:c>
      <x:c r="Q14" s="9" t="str">
        <x:v>Released</x:v>
      </x:c>
      <x:c r="R14" s="9" t="str">
        <x:v>Original</x:v>
      </x:c>
      <x:c r="S14" s="9" t="str">
        <x:v>32X CD, 3DO, Saturn, PC; 25th Anniversary remaster (2019)</x:v>
      </x:c>
      <x:c r="T14" s="9" t="str">
        <x:v>Vincent Schiavelli</x:v>
      </x:c>
      <x:c r="U14" s="9" t="n">
        <x:v>1</x:v>
      </x:c>
      <x:c r="V14" s="9" t="str">
        <x:v>No</x:v>
      </x:c>
      <x:c r="W14" s="9" t="str">
        <x:v>Controller, Menacer</x:v>
      </x:c>
      <x:c r="X14" s="9" t="str">
        <x:v>Low</x:v>
      </x:c>
      <x:c r="Y14" s="9"/>
      <x:c r="Z14" s="9" t="str">
        <x:v>1–2 hr</x:v>
      </x:c>
      <x:c r="AA14" s="9" t="str">
        <x:v>Digital Pictures' zombie-island shooter with Vincent Schiavelli chewing scenery, in the version that also supports the Menacer.</x:v>
      </x:c>
      <x:c r="AB14" s="9" t="str">
        <x:v>Extra Datura bullets: when you're out of them and the Shadow Man or another strong enemy is attacking, hold A and tap B. Track 2 on an audio CD player plays a hidden message from Sewer Shark. No level select confirmed. (FMV World)</x:v>
      </x:c>
      <x:c r="AC14" s="9" t="str">
        <x:v>Full-screen, ~10-15 fps, very grainy jungle footage.</x:v>
      </x:c>
      <x:c r="AD14" s="9" t="str">
        <x:v>Medium — zombies are slow; bosses are health-sponges.</x:v>
      </x:c>
      <x:c r="AE14" s="9" t="str">
        <x:v>Single ending; game over if your 'infection' meter fills.</x:v>
      </x:c>
      <x:c r="AF14" s="9" t="str">
        <x:v>Shot in Puerto Rico. One of the last Digital Pictures games to get wide release; the 32X CD version adds colours.</x:v>
      </x:c>
      <x:c r="AG14" s="9" t="str">
        <x:v>Sega CD, 32X CD, Limited Run 2019 reprints (both), 25th Anniversary Edition.</x:v>
      </x:c>
      <x:c r="AH14" s="9" t="str">
        <x:v>Yes (Corpse Killer 25th Anniversary — PS4, PC)</x:v>
      </x:c>
      <x:c r="AI14" s="9" t="str">
        <x:v>Easy</x:v>
      </x:c>
      <x:c r="AJ14" s="9"/>
      <x:c r="AK14" s="9" t="str">
        <x:v>Zombie shooter; also on 32X CD. Remastered on modern platforms by Limited Run (2019).</x:v>
      </x:c>
      <x:c r="AL14" s="10" t="n">
        <x:v>17.99</x:v>
      </x:c>
      <x:c r="AM14" s="10" t="n">
        <x:v>27.62</x:v>
      </x:c>
      <x:c r="AN14" s="10" t="n">
        <x:v>50</x:v>
      </x:c>
      <x:c r="AO14" s="9" t="str">
        <x:v>2026-10-20</x:v>
      </x:c>
      <x:c r="AP14" s="11" t="str">
        <x:f>HYPERLINK("https://www.pricecharting.com/search-products?q=Corpse+Killer+sega+cd&amp;type=prices","PriceCharting")</x:f>
        <x:v>PriceCharting</x:v>
      </x:c>
      <x:c r="AQ14" s="9"/>
      <x:c r="AR14" s="9"/>
      <x:c r="AS14" s="9"/>
      <x:c r="AT14" s="9"/>
      <x:c r="AU14" s="9"/>
      <x:c r="AV14" s="9"/>
      <x:c r="AW14" s="9"/>
      <x:c r="AX14" s="9"/>
      <x:c r="AY14" s="9" t="str">
        <x:v>54%</x:v>
      </x:c>
      <x:c r="AZ14" s="9" t="str">
        <x:v>2.8</x:v>
      </x:c>
      <x:c r="BA14" s="11" t="str">
        <x:f>HYPERLINK("https://www.mobygames.com/game/8180/corpse-killer/","MobyGames")</x:f>
        <x:v>MobyGames</x:v>
      </x:c>
      <x:c r="BB14" s="9"/>
      <x:c r="BC14" s="9"/>
      <x:c r="BD14" s="9"/>
      <x:c r="BE14" s="11" t="str">
        <x:f>HYPERLINK("https://en.wikipedia.org/wiki/Corpse_Killer","Wikipedia")</x:f>
        <x:v>Wikipedia</x:v>
      </x:c>
      <x:c r="BF14" s="11" t="str">
        <x:f>HYPERLINK("https://backloggd.com/search/games/Corpse%20Killer/","Backloggd")</x:f>
        <x:v>Backloggd</x:v>
      </x:c>
      <x:c r="BG14" s="11" t="str">
        <x:f>HYPERLINK("https://segaretro.org/index.php?search=Corpse+Killer","Sega Retro")</x:f>
        <x:v>Sega Retro</x:v>
      </x:c>
      <x:c r="BH14" s="9"/>
      <x:c r="BI14" s="12" t="str">
        <x:v>No</x:v>
      </x:c>
      <x:c r="BJ14" s="12" t="str"/>
      <x:c r="BK14" s="12" t="str">
        <x:v>No</x:v>
      </x:c>
      <x:c r="BL14" s="12" t="str"/>
      <x:c r="BM14" s="12" t="str"/>
      <x:c r="BN14" s="12" t="str"/>
      <x:c r="BO14" s="12" t="str"/>
      <x:c r="BP14" s="12" t="str"/>
      <x:c r="BQ14" s="12" t="str"/>
    </x:row>
    <x:row r="15">
      <x:c r="A15" s="9" t="str">
        <x:v>segacd-14</x:v>
      </x:c>
      <x:c r="B15" s="9" t="str">
        <x:v>supreme-warrior</x:v>
      </x:c>
      <x:c r="C15" s="9" t="str">
        <x:v>Sega CD</x:v>
      </x:c>
      <x:c r="D15" s="9" t="str">
        <x:v>Supreme Warrior</x:v>
      </x:c>
      <x:c r="E15" s="9"/>
      <x:c r="F15" s="9" t="str">
        <x:v>Digital Pictures</x:v>
      </x:c>
      <x:c r="G15" s="9" t="str">
        <x:v>Digital Pictures</x:v>
      </x:c>
      <x:c r="H15" s="9" t="n">
        <x:v>1994</x:v>
      </x:c>
      <x:c r="I15" s="9" t="str">
        <x:v>Yes</x:v>
      </x:c>
      <x:c r="J15" s="9" t="str">
        <x:v>No</x:v>
      </x:c>
      <x:c r="K15" s="9" t="str">
        <x:v>No</x:v>
      </x:c>
      <x:c r="L15" s="9" t="str">
        <x:v>Yes</x:v>
      </x:c>
      <x:c r="M15" s="9" t="str">
        <x:v>Fighting</x:v>
      </x:c>
      <x:c r="N15" s="9" t="str">
        <x:v>Live-action</x:v>
      </x:c>
      <x:c r="O15" s="9" t="n">
        <x:v>10</x:v>
      </x:c>
      <x:c r="P15" s="9" t="str">
        <x:v>Digital Pictures</x:v>
      </x:c>
      <x:c r="Q15" s="9" t="str">
        <x:v>Released</x:v>
      </x:c>
      <x:c r="R15" s="9" t="str">
        <x:v>Original</x:v>
      </x:c>
      <x:c r="S15" s="9" t="str">
        <x:v>32X CD, 3DO, PC</x:v>
      </x:c>
      <x:c r="T15" s="9" t="str">
        <x:v>Hong Kong stunt team</x:v>
      </x:c>
      <x:c r="U15" s="9" t="n">
        <x:v>2</x:v>
      </x:c>
      <x:c r="V15" s="9" t="str">
        <x:v>No</x:v>
      </x:c>
      <x:c r="W15" s="9" t="str">
        <x:v>Controller</x:v>
      </x:c>
      <x:c r="X15" s="9" t="str">
        <x:v>Low</x:v>
      </x:c>
      <x:c r="Y15" s="9"/>
      <x:c r="Z15" s="9" t="str">
        <x:v>1–2 hr</x:v>
      </x:c>
      <x:c r="AA15" s="9" t="str">
        <x:v>A Hong Kong kung-fu movie you fight your way through — the game that nearly works, which makes its failures funnier.</x:v>
      </x:c>
      <x:c r="AB15" s="9" t="str">
        <x:v>Difficulty settings only; no codes listed. Track 2 on an audio CD player has a backwards 'number 9' message. (GameFAQs)</x:v>
      </x:c>
      <x:c r="AC15" s="9" t="str">
        <x:v>Full-screen, 15 fps; the dubbed kung-fu footage is better shot than most.</x:v>
      </x:c>
      <x:c r="AD15" s="9" t="str">
        <x:v>Hard — the blocking system is unforgiving, especially on real hardware input lag.</x:v>
      </x:c>
      <x:c r="AE15" s="9" t="str">
        <x:v>Single ending; each disc covers two masters.</x:v>
      </x:c>
      <x:c r="AF15" s="9" t="str">
        <x:v>Produced in Hong Kong with local stunt teams; English dub recorded for the US release. Also on 3DO and 32X CD.</x:v>
      </x:c>
      <x:c r="AG15" s="9" t="str">
        <x:v>Sega CD 2-disc, 32X CD, PAL.</x:v>
      </x:c>
      <x:c r="AH15" s="9" t="str">
        <x:v>No</x:v>
      </x:c>
      <x:c r="AI15" s="9" t="str">
        <x:v>Easy</x:v>
      </x:c>
      <x:c r="AJ15" s="9"/>
      <x:c r="AK15" s="9" t="str">
        <x:v>Kung-fu FMV fighter; also on 32X CD. 2-disc set.</x:v>
      </x:c>
      <x:c r="AL15" s="10" t="n">
        <x:v>23.5</x:v>
      </x:c>
      <x:c r="AM15" s="10" t="n">
        <x:v>36.5</x:v>
      </x:c>
      <x:c r="AN15" s="10" t="n">
        <x:v>75.63</x:v>
      </x:c>
      <x:c r="AO15" s="9" t="str">
        <x:v>2026-10-20</x:v>
      </x:c>
      <x:c r="AP15" s="11" t="str">
        <x:f>HYPERLINK("https://www.pricecharting.com/search-products?q=Supreme+Warrior+sega+cd&amp;type=prices","PriceCharting")</x:f>
        <x:v>PriceCharting</x:v>
      </x:c>
      <x:c r="AQ15" s="9"/>
      <x:c r="AR15" s="9"/>
      <x:c r="AS15" s="9"/>
      <x:c r="AT15" s="9"/>
      <x:c r="AU15" s="9"/>
      <x:c r="AV15" s="9"/>
      <x:c r="AW15" s="9"/>
      <x:c r="AX15" s="9"/>
      <x:c r="AY15" s="9" t="str">
        <x:v>48%</x:v>
      </x:c>
      <x:c r="AZ15" s="9" t="str">
        <x:v>3.0</x:v>
      </x:c>
      <x:c r="BA15" s="11" t="str">
        <x:f>HYPERLINK("https://www.mobygames.com/game/8187/supreme-warrior/","MobyGames")</x:f>
        <x:v>MobyGames</x:v>
      </x:c>
      <x:c r="BB15" s="9"/>
      <x:c r="BC15" s="9"/>
      <x:c r="BD15" s="9"/>
      <x:c r="BE15" s="11" t="str">
        <x:f>HYPERLINK("https://en.wikipedia.org/wiki/Supreme_Warrior","Wikipedia")</x:f>
        <x:v>Wikipedia</x:v>
      </x:c>
      <x:c r="BF15" s="11" t="str">
        <x:f>HYPERLINK("https://backloggd.com/search/games/Supreme%20Warrior/","Backloggd")</x:f>
        <x:v>Backloggd</x:v>
      </x:c>
      <x:c r="BG15" s="11" t="str">
        <x:f>HYPERLINK("https://segaretro.org/index.php?search=Supreme+Warrior","Sega Retro")</x:f>
        <x:v>Sega Retro</x:v>
      </x:c>
      <x:c r="BH15" s="9"/>
      <x:c r="BI15" s="12" t="str">
        <x:v>No</x:v>
      </x:c>
      <x:c r="BJ15" s="12" t="str"/>
      <x:c r="BK15" s="12" t="str">
        <x:v>No</x:v>
      </x:c>
      <x:c r="BL15" s="12" t="str"/>
      <x:c r="BM15" s="12" t="str"/>
      <x:c r="BN15" s="12" t="str"/>
      <x:c r="BO15" s="12" t="str"/>
      <x:c r="BP15" s="12" t="str"/>
      <x:c r="BQ15" s="12" t="str"/>
    </x:row>
    <x:row r="16">
      <x:c r="A16" s="9" t="str">
        <x:v>segacd-15</x:v>
      </x:c>
      <x:c r="B16" s="9" t="str">
        <x:v>slam-city-with-scottie-pippen</x:v>
      </x:c>
      <x:c r="C16" s="9" t="str">
        <x:v>Sega CD</x:v>
      </x:c>
      <x:c r="D16" s="9" t="str">
        <x:v>Slam City with Scottie Pippen</x:v>
      </x:c>
      <x:c r="E16" s="9"/>
      <x:c r="F16" s="9" t="str">
        <x:v>Digital Pictures</x:v>
      </x:c>
      <x:c r="G16" s="9" t="str">
        <x:v>Digital Pictures</x:v>
      </x:c>
      <x:c r="H16" s="9" t="n">
        <x:v>1994</x:v>
      </x:c>
      <x:c r="I16" s="9" t="str">
        <x:v>Yes</x:v>
      </x:c>
      <x:c r="J16" s="9" t="str">
        <x:v>No</x:v>
      </x:c>
      <x:c r="K16" s="9" t="str">
        <x:v>No</x:v>
      </x:c>
      <x:c r="L16" s="9" t="str">
        <x:v>Yes</x:v>
      </x:c>
      <x:c r="M16" s="9" t="str">
        <x:v>Basketball</x:v>
      </x:c>
      <x:c r="N16" s="9" t="str">
        <x:v>Live-action</x:v>
      </x:c>
      <x:c r="O16" s="9" t="n">
        <x:v>10</x:v>
      </x:c>
      <x:c r="P16" s="9" t="str">
        <x:v>Digital Pictures</x:v>
      </x:c>
      <x:c r="Q16" s="9" t="str">
        <x:v>Released</x:v>
      </x:c>
      <x:c r="R16" s="9" t="str">
        <x:v>Original</x:v>
      </x:c>
      <x:c r="S16" s="9" t="str">
        <x:v>32X CD, PC</x:v>
      </x:c>
      <x:c r="T16" s="9" t="str">
        <x:v>Scottie Pippen</x:v>
      </x:c>
      <x:c r="U16" s="9" t="n">
        <x:v>4</x:v>
      </x:c>
      <x:c r="V16" s="9" t="str">
        <x:v>No</x:v>
      </x:c>
      <x:c r="W16" s="9" t="str">
        <x:v>Controller</x:v>
      </x:c>
      <x:c r="X16" s="9" t="str">
        <x:v>Low</x:v>
      </x:c>
      <x:c r="Y16" s="9"/>
      <x:c r="Z16" s="9" t="str">
        <x:v>1–2 hr</x:v>
      </x:c>
      <x:c r="AA16" s="9" t="str">
        <x:v>Streetball FMV with Scottie Pippen in the year the Bulls were without Jordan — and it needs four discs to do it.</x:v>
      </x:c>
      <x:c r="AB16" s="9" t="str">
        <x:v>Super slams: press B, A, Left, Left before Fingers passes the ball. Bonus video: at the title press C for Options, then press and hold A, then B, then C until 'B15' appears top left; keep holding and press Up. (FMV World)</x:v>
      </x:c>
      <x:c r="AC16" s="9" t="str">
        <x:v>Full-screen, 15 fps, digitised player sprite over FMV court.</x:v>
      </x:c>
      <x:c r="AD16" s="9" t="str">
        <x:v>Medium — mostly rhythm and reading the opponent's moves.</x:v>
      </x:c>
      <x:c r="AE16" s="9" t="str">
        <x:v>Beat four opponents then Pippen; single ending.</x:v>
      </x:c>
      <x:c r="AF16" s="9" t="str">
        <x:v>Four discs, one per opponent; the most discs of any Sega CD game. Pippen appears only on disc 4.</x:v>
      </x:c>
      <x:c r="AG16" s="9" t="str">
        <x:v>Sega CD 4-disc, 32X CD 4-disc. Incomplete sets are common — check for all four.</x:v>
      </x:c>
      <x:c r="AH16" s="9" t="str">
        <x:v>No</x:v>
      </x:c>
      <x:c r="AI16" s="9" t="str">
        <x:v>Easy</x:v>
      </x:c>
      <x:c r="AJ16" s="9"/>
      <x:c r="AK16" s="9" t="str">
        <x:v>Streetball with digitized player over FMV. 4-disc set; also on 32X CD.</x:v>
      </x:c>
      <x:c r="AL16" s="10" t="n">
        <x:v>23.99</x:v>
      </x:c>
      <x:c r="AM16" s="10" t="n">
        <x:v>37.99</x:v>
      </x:c>
      <x:c r="AN16" s="10" t="n">
        <x:v>86.85</x:v>
      </x:c>
      <x:c r="AO16" s="9" t="str">
        <x:v>2026-10-20</x:v>
      </x:c>
      <x:c r="AP16" s="11" t="str">
        <x:f>HYPERLINK("https://www.pricecharting.com/search-products?q=Slam+City+with+Scottie+Pippen+sega+cd&amp;type=prices","PriceCharting")</x:f>
        <x:v>PriceCharting</x:v>
      </x:c>
      <x:c r="AQ16" s="9"/>
      <x:c r="AR16" s="9"/>
      <x:c r="AS16" s="9"/>
      <x:c r="AT16" s="9"/>
      <x:c r="AU16" s="9"/>
      <x:c r="AV16" s="9"/>
      <x:c r="AW16" s="9"/>
      <x:c r="AX16" s="9"/>
      <x:c r="AY16" s="9" t="str">
        <x:v>46%</x:v>
      </x:c>
      <x:c r="AZ16" s="9" t="str">
        <x:v>2.1</x:v>
      </x:c>
      <x:c r="BA16" s="11" t="str">
        <x:f>HYPERLINK("https://www.mobygames.com/game/10487/","MobyGames")</x:f>
        <x:v>MobyGames</x:v>
      </x:c>
      <x:c r="BB16" s="9"/>
      <x:c r="BC16" s="9"/>
      <x:c r="BD16" s="9"/>
      <x:c r="BE16" s="11" t="str">
        <x:f>HYPERLINK("https://en.wikipedia.org/wiki/Slam_City_with_Scottie_Pippen","Wikipedia")</x:f>
        <x:v>Wikipedia</x:v>
      </x:c>
      <x:c r="BF16" s="11" t="str">
        <x:f>HYPERLINK("https://backloggd.com/search/games/Slam%20City%20with%20Scottie%20Pippen/","Backloggd")</x:f>
        <x:v>Backloggd</x:v>
      </x:c>
      <x:c r="BG16" s="11" t="str">
        <x:f>HYPERLINK("https://segaretro.org/index.php?search=Slam+City+with+Scottie+Pippen","Sega Retro")</x:f>
        <x:v>Sega Retro</x:v>
      </x:c>
      <x:c r="BH16" s="9"/>
      <x:c r="BI16" s="12" t="str">
        <x:v>No</x:v>
      </x:c>
      <x:c r="BJ16" s="12" t="str"/>
      <x:c r="BK16" s="12" t="str">
        <x:v>No</x:v>
      </x:c>
      <x:c r="BL16" s="12" t="str"/>
      <x:c r="BM16" s="12" t="str"/>
      <x:c r="BN16" s="12" t="str"/>
      <x:c r="BO16" s="12" t="str"/>
      <x:c r="BP16" s="12" t="str"/>
      <x:c r="BQ16" s="12" t="str"/>
    </x:row>
    <x:row r="17">
      <x:c r="A17" s="9" t="str">
        <x:v>segacd-16</x:v>
      </x:c>
      <x:c r="B17" s="9" t="str">
        <x:v>kids-on-site</x:v>
      </x:c>
      <x:c r="C17" s="9" t="str">
        <x:v>Sega CD</x:v>
      </x:c>
      <x:c r="D17" s="9" t="str">
        <x:v>Kids on Site</x:v>
      </x:c>
      <x:c r="E17" s="9"/>
      <x:c r="F17" s="9" t="str">
        <x:v>Digital Pictures</x:v>
      </x:c>
      <x:c r="G17" s="9" t="str">
        <x:v>Sega</x:v>
      </x:c>
      <x:c r="H17" s="9" t="n">
        <x:v>1994</x:v>
      </x:c>
      <x:c r="I17" s="9" t="str">
        <x:v>Yes</x:v>
      </x:c>
      <x:c r="J17" s="9" t="str">
        <x:v>No</x:v>
      </x:c>
      <x:c r="K17" s="9" t="str">
        <x:v>No</x:v>
      </x:c>
      <x:c r="L17" s="9" t="str">
        <x:v>No</x:v>
      </x:c>
      <x:c r="M17" s="9" t="str">
        <x:v>Kids / construction</x:v>
      </x:c>
      <x:c r="N17" s="9" t="str">
        <x:v>Live-action</x:v>
      </x:c>
      <x:c r="O17" s="9" t="n">
        <x:v>10</x:v>
      </x:c>
      <x:c r="P17" s="9" t="str">
        <x:v>Digital Pictures</x:v>
      </x:c>
      <x:c r="Q17" s="9" t="str">
        <x:v>Released</x:v>
      </x:c>
      <x:c r="R17" s="9" t="str">
        <x:v>Original</x:v>
      </x:c>
      <x:c r="S17" s="9" t="str">
        <x:v>PC</x:v>
      </x:c>
      <x:c r="T17" s="9" t="str">
        <x:v>—</x:v>
      </x:c>
      <x:c r="U17" s="9" t="n">
        <x:v>1</x:v>
      </x:c>
      <x:c r="V17" s="9" t="str">
        <x:v>No</x:v>
      </x:c>
      <x:c r="W17" s="9" t="str">
        <x:v>Controller</x:v>
      </x:c>
      <x:c r="X17" s="9" t="str">
        <x:v>Low</x:v>
      </x:c>
      <x:c r="Y17" s="9"/>
      <x:c r="Z17" s="9" t="str">
        <x:v>30 min</x:v>
      </x:c>
      <x:c r="AA17" s="9" t="str">
        <x:v>The only children's FMV game on the system: you drive a bulldozer with a goofy foreman cheering you on.</x:v>
      </x:c>
      <x:c r="AB17" s="9" t="str">
        <x:v>None needed; no fail state.</x:v>
      </x:c>
      <x:c r="AC17" s="9" t="str">
        <x:v>Full-screen, decent frame rate; shot in daylight so it looks relatively clean.</x:v>
      </x:c>
      <x:c r="AD17" s="9" t="str">
        <x:v>Trivial — designed for ages 4+.</x:v>
      </x:c>
      <x:c r="AE17" s="9" t="str">
        <x:v>None; free-play construction tasks.</x:v>
      </x:c>
      <x:c r="AF17" s="9" t="str">
        <x:v>Digital Pictures' attempt at an educational line; one of only a handful of Sega CD kids' titles.</x:v>
      </x:c>
      <x:c r="AG17" s="9" t="str">
        <x:v>US only (Sega).</x:v>
      </x:c>
      <x:c r="AH17" s="9" t="str">
        <x:v>Yes (Windows and PS4 2022, PS5 2026; Screaming Villains and Limited Run)</x:v>
      </x:c>
      <x:c r="AI17" s="9" t="str">
        <x:v>Easy</x:v>
      </x:c>
      <x:c r="AJ17" s="9"/>
      <x:c r="AK17" s="9" t="str">
        <x:v>Children's game; drive construction equipment over FMV footage.</x:v>
      </x:c>
      <x:c r="AL17" s="10" t="n">
        <x:v>9.91</x:v>
      </x:c>
      <x:c r="AM17" s="10" t="n">
        <x:v>18.11</x:v>
      </x:c>
      <x:c r="AN17" s="10" t="n">
        <x:v>37.5</x:v>
      </x:c>
      <x:c r="AO17" s="9" t="str">
        <x:v>2026-10-20</x:v>
      </x:c>
      <x:c r="AP17" s="11" t="str">
        <x:f>HYPERLINK("https://www.pricecharting.com/search-products?q=Kids+on+Site+sega+cd&amp;type=prices","PriceCharting")</x:f>
        <x:v>PriceCharting</x:v>
      </x:c>
      <x:c r="AQ17" s="9"/>
      <x:c r="AR17" s="9"/>
      <x:c r="AS17" s="9"/>
      <x:c r="AT17" s="9"/>
      <x:c r="AU17" s="9"/>
      <x:c r="AV17" s="9"/>
      <x:c r="AW17" s="9" t="str">
        <x:v>9/10</x:v>
      </x:c>
      <x:c r="AX17" s="9" t="str">
        <x:f>HYPERLINK("https://www.sega-16.com/2008/12/kids-on-site/","Sega-16")</x:f>
        <x:v>Sega-16</x:v>
      </x:c>
      <x:c r="AY17" s="9" t="str">
        <x:v>52%</x:v>
      </x:c>
      <x:c r="AZ17" s="9" t="str">
        <x:v>3.7</x:v>
      </x:c>
      <x:c r="BA17" s="11" t="str">
        <x:f>HYPERLINK("https://www.mobygames.com/game/40555/kids-on-site/","MobyGames")</x:f>
        <x:v>MobyGames</x:v>
      </x:c>
      <x:c r="BB17" s="9"/>
      <x:c r="BC17" s="9"/>
      <x:c r="BD17" s="9"/>
      <x:c r="BE17" s="11" t="str">
        <x:f>HYPERLINK("https://en.wikipedia.org/wiki/Kids_on_Site","Wikipedia")</x:f>
        <x:v>Wikipedia</x:v>
      </x:c>
      <x:c r="BF17" s="11" t="str">
        <x:f>HYPERLINK("https://backloggd.com/search/games/Kids%20on%20Site/","Backloggd")</x:f>
        <x:v>Backloggd</x:v>
      </x:c>
      <x:c r="BG17" s="11" t="str">
        <x:f>HYPERLINK("https://segaretro.org/index.php?search=Kids+on+Site","Sega Retro")</x:f>
        <x:v>Sega Retro</x:v>
      </x:c>
      <x:c r="BH17" s="9"/>
      <x:c r="BI17" s="12" t="str">
        <x:v>No</x:v>
      </x:c>
      <x:c r="BJ17" s="12" t="str"/>
      <x:c r="BK17" s="12" t="str">
        <x:v>No</x:v>
      </x:c>
      <x:c r="BL17" s="12" t="str"/>
      <x:c r="BM17" s="12" t="str"/>
      <x:c r="BN17" s="12" t="str"/>
      <x:c r="BO17" s="12" t="str"/>
      <x:c r="BP17" s="12" t="str"/>
      <x:c r="BQ17" s="12" t="str"/>
    </x:row>
    <x:row r="18">
      <x:c r="A18" s="9" t="str">
        <x:v>segacd-17</x:v>
      </x:c>
      <x:c r="B18" s="9" t="str">
        <x:v>make-my-video-inxs</x:v>
      </x:c>
      <x:c r="C18" s="9" t="str">
        <x:v>Sega CD</x:v>
      </x:c>
      <x:c r="D18" s="9" t="str">
        <x:v>Make My Video: INXS</x:v>
      </x:c>
      <x:c r="E18" s="9"/>
      <x:c r="F18" s="9" t="str">
        <x:v>Digital Pictures</x:v>
      </x:c>
      <x:c r="G18" s="9" t="str">
        <x:v>Sony Imagesoft</x:v>
      </x:c>
      <x:c r="H18" s="9" t="n">
        <x:v>1992</x:v>
      </x:c>
      <x:c r="I18" s="9" t="str">
        <x:v>Yes</x:v>
      </x:c>
      <x:c r="J18" s="9" t="str">
        <x:v>No</x:v>
      </x:c>
      <x:c r="K18" s="9" t="str">
        <x:v>No</x:v>
      </x:c>
      <x:c r="L18" s="9" t="str">
        <x:v>No</x:v>
      </x:c>
      <x:c r="M18" s="9" t="str">
        <x:v>Music video editing</x:v>
      </x:c>
      <x:c r="N18" s="9" t="str">
        <x:v>Live-action</x:v>
      </x:c>
      <x:c r="O18" s="9" t="n">
        <x:v>10</x:v>
      </x:c>
      <x:c r="P18" s="9" t="str">
        <x:v>Digital Pictures</x:v>
      </x:c>
      <x:c r="Q18" s="9" t="str">
        <x:v>Released</x:v>
      </x:c>
      <x:c r="R18" s="9" t="str">
        <x:v>Music videos</x:v>
      </x:c>
      <x:c r="S18" s="9" t="str">
        <x:v>Sega CD only</x:v>
      </x:c>
      <x:c r="T18" s="9" t="str">
        <x:v>INXS</x:v>
      </x:c>
      <x:c r="U18" s="9" t="n">
        <x:v>1</x:v>
      </x:c>
      <x:c r="V18" s="9" t="str">
        <x:v>No</x:v>
      </x:c>
      <x:c r="W18" s="9" t="str">
        <x:v>Controller</x:v>
      </x:c>
      <x:c r="X18" s="9" t="str">
        <x:v>HIGH</x:v>
      </x:c>
      <x:c r="Y18" s="9" t="str">
        <x:v>Full INXS tracks ('Heaven Sent', 'Not Enough Time', 'Baby Don't Cry')</x:v>
      </x:c>
      <x:c r="Z18" s="9" t="str">
        <x:v>30 min</x:v>
      </x:c>
      <x:c r="AA18" s="9" t="str">
        <x:v>You are a music-video editor for INXS taking requests from a bored suburban family — three times, because Sega CD.</x:v>
      </x:c>
      <x:c r="AB18" s="9" t="str">
        <x:v>None.</x:v>
      </x:c>
      <x:c r="AC18" s="9" t="str">
        <x:v>Full-screen, 64 colours; the music-video footage is the point and looks acceptable.</x:v>
      </x:c>
      <x:c r="AD18" s="9" t="str">
        <x:v>None — assemble clips to match a client's request.</x:v>
      </x:c>
      <x:c r="AE18" s="9" t="str">
        <x:v>Scored per video; no narrative ending.</x:v>
      </x:c>
      <x:c r="AF18" s="9" t="str">
        <x:v>The Make My Video series is frequently cited among the worst games ever; all four shipped within months of launch. Contains full tracks: 'Heaven Sent', 'Not Enough Time', 'Baby Don't Cry'.</x:v>
      </x:c>
      <x:c r="AG18" s="9" t="str">
        <x:v>US only (Sony Imagesoft).</x:v>
      </x:c>
      <x:c r="AH18" s="9" t="str">
        <x:v>No</x:v>
      </x:c>
      <x:c r="AI18" s="9" t="str">
        <x:v>Easy</x:v>
      </x:c>
      <x:c r="AJ18" s="9"/>
      <x:c r="AK18" s="9" t="str">
        <x:v>Cut together music videos from clip library. Three INXS songs.</x:v>
      </x:c>
      <x:c r="AL18" s="10" t="n">
        <x:v>19.92</x:v>
      </x:c>
      <x:c r="AM18" s="10" t="n">
        <x:v>21.21</x:v>
      </x:c>
      <x:c r="AN18" s="10" t="n">
        <x:v>39</x:v>
      </x:c>
      <x:c r="AO18" s="9" t="str">
        <x:v>2026-10-20</x:v>
      </x:c>
      <x:c r="AP18" s="11" t="str">
        <x:f>HYPERLINK("https://www.pricecharting.com/search-products?q=Make+My+Video%3A+INXS+sega+cd&amp;type=prices","PriceCharting")</x:f>
        <x:v>PriceCharting</x:v>
      </x:c>
      <x:c r="AQ18" s="9"/>
      <x:c r="AR18" s="9"/>
      <x:c r="AS18" s="9"/>
      <x:c r="AT18" s="9"/>
      <x:c r="AU18" s="9"/>
      <x:c r="AV18" s="9"/>
      <x:c r="AW18" s="9"/>
      <x:c r="AX18" s="9"/>
      <x:c r="AY18" s="9" t="str">
        <x:v>53%</x:v>
      </x:c>
      <x:c r="AZ18" s="9" t="str">
        <x:v>2.3</x:v>
      </x:c>
      <x:c r="BA18" s="11" t="str">
        <x:f>HYPERLINK("https://www.mobygames.com/game/31811/make-my-video-inxs/","MobyGames")</x:f>
        <x:v>MobyGames</x:v>
      </x:c>
      <x:c r="BB18" s="9"/>
      <x:c r="BC18" s="9"/>
      <x:c r="BD18" s="9"/>
      <x:c r="BE18" s="11" t="str">
        <x:f>HYPERLINK("https://en.wikipedia.org/wiki/Make_My_Video","Wikipedia")</x:f>
        <x:v>Wikipedia</x:v>
      </x:c>
      <x:c r="BF18" s="11" t="str">
        <x:f>HYPERLINK("https://backloggd.com/search/games/Make%20My%20Video%3A%20INXS/","Backloggd")</x:f>
        <x:v>Backloggd</x:v>
      </x:c>
      <x:c r="BG18" s="11" t="str">
        <x:f>HYPERLINK("https://segaretro.org/index.php?search=Make+My+Video%3A+INXS","Sega Retro")</x:f>
        <x:v>Sega Retro</x:v>
      </x:c>
      <x:c r="BH18" s="9"/>
      <x:c r="BI18" s="12" t="str">
        <x:v>No</x:v>
      </x:c>
      <x:c r="BJ18" s="12" t="str"/>
      <x:c r="BK18" s="12" t="str">
        <x:v>No</x:v>
      </x:c>
      <x:c r="BL18" s="12" t="str"/>
      <x:c r="BM18" s="12" t="str"/>
      <x:c r="BN18" s="12" t="str"/>
      <x:c r="BO18" s="12" t="str"/>
      <x:c r="BP18" s="12" t="str"/>
      <x:c r="BQ18" s="12" t="str"/>
    </x:row>
    <x:row r="19">
      <x:c r="A19" s="9" t="str">
        <x:v>segacd-18</x:v>
      </x:c>
      <x:c r="B19" s="9" t="str">
        <x:v>make-my-video-marky-mark-and-the-funky-bunch</x:v>
      </x:c>
      <x:c r="C19" s="9" t="str">
        <x:v>Sega CD</x:v>
      </x:c>
      <x:c r="D19" s="9" t="str">
        <x:v>Make My Video: Marky Mark and the Funky Bunch</x:v>
      </x:c>
      <x:c r="E19" s="9"/>
      <x:c r="F19" s="9" t="str">
        <x:v>Digital Pictures</x:v>
      </x:c>
      <x:c r="G19" s="9" t="str">
        <x:v>Sony Imagesoft</x:v>
      </x:c>
      <x:c r="H19" s="9" t="n">
        <x:v>1992</x:v>
      </x:c>
      <x:c r="I19" s="9" t="str">
        <x:v>Yes</x:v>
      </x:c>
      <x:c r="J19" s="9" t="str">
        <x:v>No</x:v>
      </x:c>
      <x:c r="K19" s="9" t="str">
        <x:v>No</x:v>
      </x:c>
      <x:c r="L19" s="9" t="str">
        <x:v>No</x:v>
      </x:c>
      <x:c r="M19" s="9" t="str">
        <x:v>Music video editing</x:v>
      </x:c>
      <x:c r="N19" s="9" t="str">
        <x:v>Live-action</x:v>
      </x:c>
      <x:c r="O19" s="9" t="n">
        <x:v>10</x:v>
      </x:c>
      <x:c r="P19" s="9" t="str">
        <x:v>Digital Pictures</x:v>
      </x:c>
      <x:c r="Q19" s="9" t="str">
        <x:v>Released</x:v>
      </x:c>
      <x:c r="R19" s="9" t="str">
        <x:v>Music videos</x:v>
      </x:c>
      <x:c r="S19" s="9" t="str">
        <x:v>Sega CD only</x:v>
      </x:c>
      <x:c r="T19" s="9" t="str">
        <x:v>Marky Mark (Mark Wahlberg)</x:v>
      </x:c>
      <x:c r="U19" s="9" t="n">
        <x:v>1</x:v>
      </x:c>
      <x:c r="V19" s="9" t="str">
        <x:v>No</x:v>
      </x:c>
      <x:c r="W19" s="9" t="str">
        <x:v>Controller</x:v>
      </x:c>
      <x:c r="X19" s="9" t="str">
        <x:v>HIGH</x:v>
      </x:c>
      <x:c r="Y19" s="9" t="str">
        <x:v>Full tracks ('Good Vibrations', 'You Gotta Believe', 'I Need Money')</x:v>
      </x:c>
      <x:c r="Z19" s="9" t="str">
        <x:v>30 min</x:v>
      </x:c>
      <x:c r="AA19" s="9" t="str">
        <x:v>Mark Wahlberg's rap career immortalised on Sega CD — the game AVGN and everyone else uses as shorthand for 'bad FMV'.</x:v>
      </x:c>
      <x:c r="AB19" s="9" t="str">
        <x:v>None.</x:v>
      </x:c>
      <x:c r="AC19" s="9" t="str">
        <x:v>Full-screen music videos; clip library includes stock footage.</x:v>
      </x:c>
      <x:c r="AD19" s="9" t="str">
        <x:v>None.</x:v>
      </x:c>
      <x:c r="AE19" s="9" t="str">
        <x:v>Scored per video.</x:v>
      </x:c>
      <x:c r="AF19" s="9" t="str">
        <x:v>Tracks: 'Good Vibrations', 'You Gotta Believe', 'I Need Money'. The 'client' framing (callers phoning in requests) is shared across the series.</x:v>
      </x:c>
      <x:c r="AG19" s="9" t="str">
        <x:v>US only.</x:v>
      </x:c>
      <x:c r="AH19" s="9" t="str">
        <x:v>No</x:v>
      </x:c>
      <x:c r="AI19" s="9" t="str">
        <x:v>Easy</x:v>
      </x:c>
      <x:c r="AJ19" s="9"/>
      <x:c r="AK19" s="9" t="str">
        <x:v>Same engine as other Make My Video titles.</x:v>
      </x:c>
      <x:c r="AL19" s="10" t="n">
        <x:v>16.35</x:v>
      </x:c>
      <x:c r="AM19" s="10" t="n">
        <x:v>37.91</x:v>
      </x:c>
      <x:c r="AN19" s="10" t="n">
        <x:v>67.04</x:v>
      </x:c>
      <x:c r="AO19" s="9" t="str">
        <x:v>2026-10-20</x:v>
      </x:c>
      <x:c r="AP19" s="11" t="str">
        <x:f>HYPERLINK("https://www.pricecharting.com/search-products?q=Make+My+Video%3A+Marky+Mark+and+the+Funky+Bunch+sega+cd&amp;type=prices","PriceCharting")</x:f>
        <x:v>PriceCharting</x:v>
      </x:c>
      <x:c r="AQ19" s="9"/>
      <x:c r="AR19" s="9"/>
      <x:c r="AS19" s="9"/>
      <x:c r="AT19" s="9"/>
      <x:c r="AU19" s="9"/>
      <x:c r="AV19" s="9"/>
      <x:c r="AW19" s="9" t="str">
        <x:v>3/10</x:v>
      </x:c>
      <x:c r="AX19" s="9" t="str">
        <x:f>HYPERLINK("https://www.sega-16.com/2007/03/make-your-own-music-video-marky-mark/","Sega-16")</x:f>
        <x:v>Sega-16</x:v>
      </x:c>
      <x:c r="AY19" s="9" t="str">
        <x:v>28%</x:v>
      </x:c>
      <x:c r="AZ19" s="9" t="str">
        <x:v>2.5</x:v>
      </x:c>
      <x:c r="BA19" s="11" t="str">
        <x:f>HYPERLINK("https://www.mobygames.com/game/31809/make-my-video-marky-mark-and-the-funky-bunch/","MobyGames")</x:f>
        <x:v>MobyGames</x:v>
      </x:c>
      <x:c r="BB19" s="9"/>
      <x:c r="BC19" s="9"/>
      <x:c r="BD19" s="9"/>
      <x:c r="BE19" s="11" t="str">
        <x:f>HYPERLINK("https://en.wikipedia.org/wiki/Make_My_Video","Wikipedia")</x:f>
        <x:v>Wikipedia</x:v>
      </x:c>
      <x:c r="BF19" s="11" t="str">
        <x:f>HYPERLINK("https://backloggd.com/search/games/Make%20My%20Video%3A%20Marky%20Mark%20and%20the%20Funky%20Bunch/","Backloggd")</x:f>
        <x:v>Backloggd</x:v>
      </x:c>
      <x:c r="BG19" s="11" t="str">
        <x:f>HYPERLINK("https://segaretro.org/index.php?search=Make+My+Video%3A+Marky+Mark+and+the+Funky+Bunch","Sega Retro")</x:f>
        <x:v>Sega Retro</x:v>
      </x:c>
      <x:c r="BH19" s="9"/>
      <x:c r="BI19" s="12" t="str">
        <x:v>No</x:v>
      </x:c>
      <x:c r="BJ19" s="12" t="str"/>
      <x:c r="BK19" s="12" t="str">
        <x:v>No</x:v>
      </x:c>
      <x:c r="BL19" s="12" t="str"/>
      <x:c r="BM19" s="12" t="str"/>
      <x:c r="BN19" s="12" t="str"/>
      <x:c r="BO19" s="12" t="str"/>
      <x:c r="BP19" s="12" t="str"/>
      <x:c r="BQ19" s="12" t="str"/>
    </x:row>
    <x:row r="20">
      <x:c r="A20" s="9" t="str">
        <x:v>segacd-19</x:v>
      </x:c>
      <x:c r="B20" s="9" t="str">
        <x:v>make-my-video-kris-kross</x:v>
      </x:c>
      <x:c r="C20" s="9" t="str">
        <x:v>Sega CD</x:v>
      </x:c>
      <x:c r="D20" s="9" t="str">
        <x:v>Make My Video: Kris Kross</x:v>
      </x:c>
      <x:c r="E20" s="9"/>
      <x:c r="F20" s="9" t="str">
        <x:v>Digital Pictures</x:v>
      </x:c>
      <x:c r="G20" s="9" t="str">
        <x:v>Sony Imagesoft</x:v>
      </x:c>
      <x:c r="H20" s="9" t="n">
        <x:v>1992</x:v>
      </x:c>
      <x:c r="I20" s="9" t="str">
        <x:v>Yes</x:v>
      </x:c>
      <x:c r="J20" s="9" t="str">
        <x:v>No</x:v>
      </x:c>
      <x:c r="K20" s="9" t="str">
        <x:v>No</x:v>
      </x:c>
      <x:c r="L20" s="9" t="str">
        <x:v>No</x:v>
      </x:c>
      <x:c r="M20" s="9" t="str">
        <x:v>Music video editing</x:v>
      </x:c>
      <x:c r="N20" s="9" t="str">
        <x:v>Live-action</x:v>
      </x:c>
      <x:c r="O20" s="9" t="n">
        <x:v>10</x:v>
      </x:c>
      <x:c r="P20" s="9" t="str">
        <x:v>Digital Pictures</x:v>
      </x:c>
      <x:c r="Q20" s="9" t="str">
        <x:v>Released</x:v>
      </x:c>
      <x:c r="R20" s="9" t="str">
        <x:v>Music videos</x:v>
      </x:c>
      <x:c r="S20" s="9" t="str">
        <x:v>Sega CD only</x:v>
      </x:c>
      <x:c r="T20" s="9" t="str">
        <x:v>Kris Kross</x:v>
      </x:c>
      <x:c r="U20" s="9" t="n">
        <x:v>1</x:v>
      </x:c>
      <x:c r="V20" s="9" t="str">
        <x:v>No</x:v>
      </x:c>
      <x:c r="W20" s="9" t="str">
        <x:v>Controller</x:v>
      </x:c>
      <x:c r="X20" s="9" t="str">
        <x:v>HIGH</x:v>
      </x:c>
      <x:c r="Y20" s="9" t="str">
        <x:v>Full tracks ('Jump', 'Warm It Up', 'I Missed the Bus')</x:v>
      </x:c>
      <x:c r="Z20" s="9" t="str">
        <x:v>30 min</x:v>
      </x:c>
      <x:c r="AA20" s="9" t="str">
        <x:v>'Jump' as a game, from the era when Sony thought kids wanted to edit music videos on a console.</x:v>
      </x:c>
      <x:c r="AB20" s="9" t="str">
        <x:v>None.</x:v>
      </x:c>
      <x:c r="AC20" s="9" t="str">
        <x:v>Full-screen music videos.</x:v>
      </x:c>
      <x:c r="AD20" s="9" t="str">
        <x:v>None.</x:v>
      </x:c>
      <x:c r="AE20" s="9" t="str">
        <x:v>Scored per video.</x:v>
      </x:c>
      <x:c r="AF20" s="9" t="str">
        <x:v>Tracks: 'Jump', 'Warm It Up', 'I Missed the Bus'. Cheapest of the four today.</x:v>
      </x:c>
      <x:c r="AG20" s="9" t="str">
        <x:v>US only.</x:v>
      </x:c>
      <x:c r="AH20" s="9" t="str">
        <x:v>No</x:v>
      </x:c>
      <x:c r="AI20" s="9" t="str">
        <x:v>Easy</x:v>
      </x:c>
      <x:c r="AJ20" s="9"/>
      <x:c r="AK20" s="9" t="str">
        <x:v>Same engine as other Make My Video titles.</x:v>
      </x:c>
      <x:c r="AL20" s="10" t="n">
        <x:v>8.28</x:v>
      </x:c>
      <x:c r="AM20" s="10" t="n">
        <x:v>26.15</x:v>
      </x:c>
      <x:c r="AN20" s="10" t="n">
        <x:v>59.79</x:v>
      </x:c>
      <x:c r="AO20" s="9" t="str">
        <x:v>2026-10-20</x:v>
      </x:c>
      <x:c r="AP20" s="11" t="str">
        <x:f>HYPERLINK("https://www.pricecharting.com/search-products?q=Make+My+Video%3A+Kris+Kross+sega+cd&amp;type=prices","PriceCharting")</x:f>
        <x:v>PriceCharting</x:v>
      </x:c>
      <x:c r="AQ20" s="9"/>
      <x:c r="AR20" s="9"/>
      <x:c r="AS20" s="9"/>
      <x:c r="AT20" s="9"/>
      <x:c r="AU20" s="9"/>
      <x:c r="AV20" s="9"/>
      <x:c r="AW20" s="9" t="str">
        <x:v>1/10</x:v>
      </x:c>
      <x:c r="AX20" s="9" t="str">
        <x:f>HYPERLINK("https://www.sega-16.com/2009/12/2172/","Sega-16")</x:f>
        <x:v>Sega-16</x:v>
      </x:c>
      <x:c r="AY20" s="9" t="str">
        <x:v>57%</x:v>
      </x:c>
      <x:c r="AZ20" s="9" t="str">
        <x:v>2.2</x:v>
      </x:c>
      <x:c r="BA20" s="11" t="str">
        <x:f>HYPERLINK("https://www.mobygames.com/game/31810/make-my-video-kris-kross/","MobyGames")</x:f>
        <x:v>MobyGames</x:v>
      </x:c>
      <x:c r="BB20" s="9"/>
      <x:c r="BC20" s="9"/>
      <x:c r="BD20" s="9"/>
      <x:c r="BE20" s="11" t="str">
        <x:f>HYPERLINK("https://en.wikipedia.org/wiki/Make_My_Video","Wikipedia")</x:f>
        <x:v>Wikipedia</x:v>
      </x:c>
      <x:c r="BF20" s="11" t="str">
        <x:f>HYPERLINK("https://backloggd.com/search/games/Make%20My%20Video%3A%20Kris%20Kross/","Backloggd")</x:f>
        <x:v>Backloggd</x:v>
      </x:c>
      <x:c r="BG20" s="11" t="str">
        <x:f>HYPERLINK("https://segaretro.org/index.php?search=Make+My+Video%3A+Kris+Kross","Sega Retro")</x:f>
        <x:v>Sega Retro</x:v>
      </x:c>
      <x:c r="BH20" s="9"/>
      <x:c r="BI20" s="12" t="str">
        <x:v>No</x:v>
      </x:c>
      <x:c r="BJ20" s="12" t="str"/>
      <x:c r="BK20" s="12" t="str">
        <x:v>No</x:v>
      </x:c>
      <x:c r="BL20" s="12" t="str"/>
      <x:c r="BM20" s="12" t="str"/>
      <x:c r="BN20" s="12" t="str"/>
      <x:c r="BO20" s="12" t="str"/>
      <x:c r="BP20" s="12" t="str"/>
      <x:c r="BQ20" s="12" t="str"/>
    </x:row>
    <x:row r="21">
      <x:c r="A21" s="9" t="str">
        <x:v>segacd-20</x:v>
      </x:c>
      <x:c r="B21" s="9" t="str">
        <x:v>power-factory-featuring-c-c-music-factory</x:v>
      </x:c>
      <x:c r="C21" s="9" t="str">
        <x:v>Sega CD</x:v>
      </x:c>
      <x:c r="D21" s="9" t="str">
        <x:v>Power Factory Featuring C+C Music Factory</x:v>
      </x:c>
      <x:c r="E21" s="9" t="str">
        <x:v>Make My Video: C+C Music Factory</x:v>
      </x:c>
      <x:c r="F21" s="9" t="str">
        <x:v>Digital Pictures</x:v>
      </x:c>
      <x:c r="G21" s="9" t="str">
        <x:v>Sony Imagesoft</x:v>
      </x:c>
      <x:c r="H21" s="9" t="n">
        <x:v>1992</x:v>
      </x:c>
      <x:c r="I21" s="9" t="str">
        <x:v>Yes</x:v>
      </x:c>
      <x:c r="J21" s="9" t="str">
        <x:v>No</x:v>
      </x:c>
      <x:c r="K21" s="9" t="str">
        <x:v>No</x:v>
      </x:c>
      <x:c r="L21" s="9" t="str">
        <x:v>No</x:v>
      </x:c>
      <x:c r="M21" s="9" t="str">
        <x:v>Music video editing</x:v>
      </x:c>
      <x:c r="N21" s="9" t="str">
        <x:v>Live-action</x:v>
      </x:c>
      <x:c r="O21" s="9" t="n">
        <x:v>10</x:v>
      </x:c>
      <x:c r="P21" s="9" t="str">
        <x:v>Digital Pictures</x:v>
      </x:c>
      <x:c r="Q21" s="9" t="str">
        <x:v>Released</x:v>
      </x:c>
      <x:c r="R21" s="9" t="str">
        <x:v>Music videos</x:v>
      </x:c>
      <x:c r="S21" s="9" t="str">
        <x:v>Sega CD only</x:v>
      </x:c>
      <x:c r="T21" s="9" t="str">
        <x:v>C+C Music Factory</x:v>
      </x:c>
      <x:c r="U21" s="9" t="n">
        <x:v>1</x:v>
      </x:c>
      <x:c r="V21" s="9" t="str">
        <x:v>No</x:v>
      </x:c>
      <x:c r="W21" s="9" t="str">
        <x:v>Controller</x:v>
      </x:c>
      <x:c r="X21" s="9" t="str">
        <x:v>HIGH</x:v>
      </x:c>
      <x:c r="Y21" s="9" t="str">
        <x:v>Full tracks ('Gonna Make You Sweat', 'Here We Go', 'Things That Make You Go Hmmm')</x:v>
      </x:c>
      <x:c r="Z21" s="9" t="str">
        <x:v>30 min</x:v>
      </x:c>
      <x:c r="AA21" s="9" t="str">
        <x:v>The fourth Make My Video game, renamed because 'C+C Music Factory: Make My Video' apparently wasn't catchy enough.</x:v>
      </x:c>
      <x:c r="AB21" s="9" t="str">
        <x:v>None.</x:v>
      </x:c>
      <x:c r="AC21" s="9" t="str">
        <x:v>Full-screen music videos.</x:v>
      </x:c>
      <x:c r="AD21" s="9" t="str">
        <x:v>None.</x:v>
      </x:c>
      <x:c r="AE21" s="9" t="str">
        <x:v>Scored per video.</x:v>
      </x:c>
      <x:c r="AF21" s="9" t="str">
        <x:v>Tracks: 'Gonna Make You Sweat (Everybody Dance Now)', 'Here We Go', 'Things That Make You Go Hmmm...'.</x:v>
      </x:c>
      <x:c r="AG21" s="9" t="str">
        <x:v>US only.</x:v>
      </x:c>
      <x:c r="AH21" s="9" t="str">
        <x:v>No</x:v>
      </x:c>
      <x:c r="AI21" s="9" t="str">
        <x:v>Easy</x:v>
      </x:c>
      <x:c r="AJ21" s="9"/>
      <x:c r="AK21" s="9" t="str">
        <x:v>Fourth Make My Video title, released under a different name.</x:v>
      </x:c>
      <x:c r="AL21" s="10" t="n">
        <x:v>14.01</x:v>
      </x:c>
      <x:c r="AM21" s="10" t="n">
        <x:v>24.99</x:v>
      </x:c>
      <x:c r="AN21" s="10" t="n">
        <x:v>42.32</x:v>
      </x:c>
      <x:c r="AO21" s="9" t="str">
        <x:v>2026-10-20</x:v>
      </x:c>
      <x:c r="AP21" s="11" t="str">
        <x:f>HYPERLINK("https://www.pricecharting.com/search-products?q=Power+Factory+Featuring+C%2BC+Music+Factory+sega+cd&amp;type=prices","PriceCharting")</x:f>
        <x:v>PriceCharting</x:v>
      </x:c>
      <x:c r="AQ21" s="9"/>
      <x:c r="AR21" s="9"/>
      <x:c r="AS21" s="9"/>
      <x:c r="AT21" s="9"/>
      <x:c r="AU21" s="9"/>
      <x:c r="AV21" s="9"/>
      <x:c r="AW21" s="9" t="str">
        <x:v>2/10</x:v>
      </x:c>
      <x:c r="AX21" s="9" t="str">
        <x:f>HYPERLINK("https://www.sega-16.com/2009/06/power-factory-featuring-cc-music-factory/","Sega-16")</x:f>
        <x:v>Sega-16</x:v>
      </x:c>
      <x:c r="AY21" s="9" t="str">
        <x:v>42%</x:v>
      </x:c>
      <x:c r="AZ21" s="9" t="str">
        <x:v>2.1</x:v>
      </x:c>
      <x:c r="BA21" s="11" t="str">
        <x:f>HYPERLINK("https://www.mobygames.com/game/28551/","MobyGames")</x:f>
        <x:v>MobyGames</x:v>
      </x:c>
      <x:c r="BB21" s="9"/>
      <x:c r="BC21" s="9"/>
      <x:c r="BD21" s="9"/>
      <x:c r="BE21" s="11" t="str">
        <x:f>HYPERLINK("https://en.wikipedia.org/wiki/Power_Factory_Featuring_C%2BC_Music_Factory","Wikipedia")</x:f>
        <x:v>Wikipedia</x:v>
      </x:c>
      <x:c r="BF21" s="11" t="str">
        <x:f>HYPERLINK("https://backloggd.com/search/games/Power%20Factory%20Featuring%20C%2BC%20Music%20Factory/","Backloggd")</x:f>
        <x:v>Backloggd</x:v>
      </x:c>
      <x:c r="BG21" s="11" t="str">
        <x:f>HYPERLINK("https://segaretro.org/index.php?search=Power+Factory+Featuring+C%2BC+Music+Factory","Sega Retro")</x:f>
        <x:v>Sega Retro</x:v>
      </x:c>
      <x:c r="BH21" s="9"/>
      <x:c r="BI21" s="12" t="str">
        <x:v>No</x:v>
      </x:c>
      <x:c r="BJ21" s="12" t="str"/>
      <x:c r="BK21" s="12" t="str">
        <x:v>No</x:v>
      </x:c>
      <x:c r="BL21" s="12" t="str"/>
      <x:c r="BM21" s="12" t="str"/>
      <x:c r="BN21" s="12" t="str"/>
      <x:c r="BO21" s="12" t="str"/>
      <x:c r="BP21" s="12" t="str"/>
      <x:c r="BQ21" s="12" t="str"/>
    </x:row>
    <x:row r="22">
      <x:c r="A22" s="9" t="str">
        <x:v>segacd-21</x:v>
      </x:c>
      <x:c r="B22" s="9" t="str">
        <x:v>mad-dog-mccree</x:v>
      </x:c>
      <x:c r="C22" s="9" t="str">
        <x:v>Sega CD</x:v>
      </x:c>
      <x:c r="D22" s="9" t="str">
        <x:v>Mad Dog McCree</x:v>
      </x:c>
      <x:c r="E22" s="9"/>
      <x:c r="F22" s="9" t="str">
        <x:v>American Laser Games</x:v>
      </x:c>
      <x:c r="G22" s="9" t="str">
        <x:v>American Laser Games</x:v>
      </x:c>
      <x:c r="H22" s="9" t="n">
        <x:v>1993</x:v>
      </x:c>
      <x:c r="I22" s="9" t="str">
        <x:v>Yes</x:v>
      </x:c>
      <x:c r="J22" s="9" t="str">
        <x:v>No</x:v>
      </x:c>
      <x:c r="K22" s="9" t="str">
        <x:v>No</x:v>
      </x:c>
      <x:c r="L22" s="9" t="str">
        <x:v>No</x:v>
      </x:c>
      <x:c r="M22" s="9" t="str">
        <x:v>Light-gun rail shooter</x:v>
      </x:c>
      <x:c r="N22" s="9" t="str">
        <x:v>Live-action</x:v>
      </x:c>
      <x:c r="O22" s="9" t="n">
        <x:v>10</x:v>
      </x:c>
      <x:c r="P22" s="9" t="str">
        <x:v>American Laser Games</x:v>
      </x:c>
      <x:c r="Q22" s="9" t="str">
        <x:v>Released</x:v>
      </x:c>
      <x:c r="R22" s="9" t="str">
        <x:v>1990 ALG laserdisc arcade game</x:v>
      </x:c>
      <x:c r="S22" s="9" t="str">
        <x:v>3DO, CD-i, PC, DVD; Wii/DS/PS3 remasters</x:v>
      </x:c>
      <x:c r="T22" s="9" t="str">
        <x:v>—</x:v>
      </x:c>
      <x:c r="U22" s="9" t="n">
        <x:v>1</x:v>
      </x:c>
      <x:c r="V22" s="9" t="str">
        <x:v>No</x:v>
      </x:c>
      <x:c r="W22" s="9" t="str">
        <x:v>Controller, Sega Mouse, Menacer, Justifier</x:v>
      </x:c>
      <x:c r="X22" s="9" t="str">
        <x:v>Low</x:v>
      </x:c>
      <x:c r="Y22" s="9"/>
      <x:c r="Z22" s="9" t="str">
        <x:v>20–30 min</x:v>
      </x:c>
      <x:c r="AA22" s="9" t="str">
        <x:v>The arcade's first live-action light-gun game, with the Menacer-or-mouse question built right into the episode.</x:v>
      </x:c>
      <x:c r="AB22" s="9" t="str">
        <x:v>Options: difficulty and lives; stage order is partly selectable in-game (bank, saloon, etc.).</x:v>
      </x:c>
      <x:c r="AC22" s="9" t="str">
        <x:v>Full-screen, ~10 fps, 64-colour laserdisc footage looks rough but readable.</x:v>
      </x:c>
      <x:c r="AD22" s="9" t="str">
        <x:v>Medium — short reaction windows; much easier with a mouse than a controller.</x:v>
      </x:c>
      <x:c r="AE22" s="9" t="str">
        <x:v>Single ending; game over screens are the undertaker/prospector gags.</x:v>
      </x:c>
      <x:c r="AF22" s="9" t="str">
        <x:v>ALG's 1990 arcade original was the first laserdisc game in years to be a hit; the Sega CD port was ALG's first console release.</x:v>
      </x:c>
      <x:c r="AG22" s="9" t="str">
        <x:v>US only (ALG). Compatible with Menacer, Justifier, Sega Mouse.</x:v>
      </x:c>
      <x:c r="AH22" s="9" t="str">
        <x:v>No verified current digital sale; original discs and legacy Digital Leisure editions (platforms vary).</x:v>
      </x:c>
      <x:c r="AI22" s="9" t="str">
        <x:v>Easy</x:v>
      </x:c>
      <x:c r="AJ22" s="9"/>
      <x:c r="AK22" s="9" t="str">
        <x:v>Supports Sega Menacer or controller. Arcade original 1990.</x:v>
      </x:c>
      <x:c r="AL22" s="10" t="n">
        <x:v>14.28</x:v>
      </x:c>
      <x:c r="AM22" s="10" t="n">
        <x:v>30.63</x:v>
      </x:c>
      <x:c r="AN22" s="10" t="n">
        <x:v>67.41</x:v>
      </x:c>
      <x:c r="AO22" s="9" t="str">
        <x:v>2026-10-20</x:v>
      </x:c>
      <x:c r="AP22" s="11" t="str">
        <x:f>HYPERLINK("https://www.pricecharting.com/search-products?q=Mad+Dog+McCree+sega+cd&amp;type=prices","PriceCharting")</x:f>
        <x:v>PriceCharting</x:v>
      </x:c>
      <x:c r="AQ22" s="9"/>
      <x:c r="AR22" s="9"/>
      <x:c r="AS22" s="9"/>
      <x:c r="AT22" s="9"/>
      <x:c r="AU22" s="9"/>
      <x:c r="AV22" s="9"/>
      <x:c r="AW22" s="9"/>
      <x:c r="AX22" s="9"/>
      <x:c r="AY22" s="9" t="str">
        <x:v>56%</x:v>
      </x:c>
      <x:c r="AZ22" s="9" t="str">
        <x:v>3.2</x:v>
      </x:c>
      <x:c r="BA22" s="11" t="str">
        <x:f>HYPERLINK("https://www.mobygames.com/game/457/mad-dog-mccree/","MobyGames")</x:f>
        <x:v>MobyGames</x:v>
      </x:c>
      <x:c r="BB22" s="9"/>
      <x:c r="BC22" s="9"/>
      <x:c r="BD22" s="9"/>
      <x:c r="BE22" s="11" t="str">
        <x:f>HYPERLINK("https://en.wikipedia.org/wiki/Mad_Dog_McCree","Wikipedia")</x:f>
        <x:v>Wikipedia</x:v>
      </x:c>
      <x:c r="BF22" s="11" t="str">
        <x:f>HYPERLINK("https://backloggd.com/search/games/Mad%20Dog%20McCree/","Backloggd")</x:f>
        <x:v>Backloggd</x:v>
      </x:c>
      <x:c r="BG22" s="11" t="str">
        <x:f>HYPERLINK("https://segaretro.org/index.php?search=Mad+Dog+McCree","Sega Retro")</x:f>
        <x:v>Sega Retro</x:v>
      </x:c>
      <x:c r="BH22" s="9"/>
      <x:c r="BI22" s="12" t="str">
        <x:v>No</x:v>
      </x:c>
      <x:c r="BJ22" s="12" t="str"/>
      <x:c r="BK22" s="12" t="str">
        <x:v>No</x:v>
      </x:c>
      <x:c r="BL22" s="12" t="str"/>
      <x:c r="BM22" s="12" t="str"/>
      <x:c r="BN22" s="12" t="str"/>
      <x:c r="BO22" s="12" t="str"/>
      <x:c r="BP22" s="12" t="str"/>
      <x:c r="BQ22" s="12" t="str"/>
    </x:row>
    <x:row r="23">
      <x:c r="A23" s="9" t="str">
        <x:v>segacd-22</x:v>
      </x:c>
      <x:c r="B23" s="9" t="str">
        <x:v>mad-dog-ii-the-lost-gold</x:v>
      </x:c>
      <x:c r="C23" s="9" t="str">
        <x:v>Sega CD</x:v>
      </x:c>
      <x:c r="D23" s="9" t="str">
        <x:v>Mad Dog II: The Lost Gold</x:v>
      </x:c>
      <x:c r="E23" s="9"/>
      <x:c r="F23" s="9" t="str">
        <x:v>American Laser Games</x:v>
      </x:c>
      <x:c r="G23" s="9" t="str">
        <x:v>American Laser Games</x:v>
      </x:c>
      <x:c r="H23" s="9" t="n">
        <x:v>1994</x:v>
      </x:c>
      <x:c r="I23" s="9" t="str">
        <x:v>Yes</x:v>
      </x:c>
      <x:c r="J23" s="9" t="str">
        <x:v>No</x:v>
      </x:c>
      <x:c r="K23" s="9" t="str">
        <x:v>No</x:v>
      </x:c>
      <x:c r="L23" s="9" t="str">
        <x:v>No</x:v>
      </x:c>
      <x:c r="M23" s="9" t="str">
        <x:v>Light-gun rail shooter</x:v>
      </x:c>
      <x:c r="N23" s="9" t="str">
        <x:v>Live-action</x:v>
      </x:c>
      <x:c r="O23" s="9" t="n">
        <x:v>10</x:v>
      </x:c>
      <x:c r="P23" s="9" t="str">
        <x:v>American Laser Games</x:v>
      </x:c>
      <x:c r="Q23" s="9" t="str">
        <x:v>Released</x:v>
      </x:c>
      <x:c r="R23" s="9" t="str">
        <x:v>1992 ALG laserdisc arcade game</x:v>
      </x:c>
      <x:c r="S23" s="9" t="str">
        <x:v>3DO, CD-i, PC, DVD</x:v>
      </x:c>
      <x:c r="T23" s="9" t="str">
        <x:v>—</x:v>
      </x:c>
      <x:c r="U23" s="9" t="n">
        <x:v>1</x:v>
      </x:c>
      <x:c r="V23" s="9" t="str">
        <x:v>No</x:v>
      </x:c>
      <x:c r="W23" s="9" t="str">
        <x:v>Controller, Sega Mouse, Menacer, Justifier</x:v>
      </x:c>
      <x:c r="X23" s="9" t="str">
        <x:v>Low</x:v>
      </x:c>
      <x:c r="Y23" s="9"/>
      <x:c r="Z23" s="9" t="str">
        <x:v>20–30 min</x:v>
      </x:c>
      <x:c r="AA23" s="9" t="str">
        <x:v>The sequel with a choose-your-guide structure, and the rarest and priciest of the four ALG discs.</x:v>
      </x:c>
      <x:c r="AB23" s="9" t="str">
        <x:v>Cheat mode: at the menu screen, before touching anything else, press B, B, A+B, A+B+C, A+C (a sound confirms). Then shoot the map within a second when the arrow-riddled man hands it over, and shoot the Padre's half as it rotates, to enable unlimited ammo, unlimited lives, C to auto-shoot and a Gatling gun mode. (FMV World)</x:v>
      </x:c>
      <x:c r="AC23" s="9" t="str">
        <x:v>Same as Mad Dog McCree.</x:v>
      </x:c>
      <x:c r="AD23" s="9" t="str">
        <x:v>Medium-hard.</x:v>
      </x:c>
      <x:c r="AE23" s="9" t="str">
        <x:v>Three guides give three different routes to the same ending.</x:v>
      </x:c>
      <x:c r="AF23" s="9" t="str">
        <x:v>Arcade 1992. Sega CD release was late (1994) and small, hence today's price.</x:v>
      </x:c>
      <x:c r="AG23" s="9" t="str">
        <x:v>US only.</x:v>
      </x:c>
      <x:c r="AH23" s="9" t="str">
        <x:v>No verified current digital sale; original discs and legacy Digital Leisure editions (platforms vary).</x:v>
      </x:c>
      <x:c r="AI23" s="9" t="str">
        <x:v>Easy</x:v>
      </x:c>
      <x:c r="AJ23" s="9"/>
      <x:c r="AK23" s="9" t="str">
        <x:v>Sequel; Menacer or controller.</x:v>
      </x:c>
      <x:c r="AL23" s="10" t="n">
        <x:v>67.99</x:v>
      </x:c>
      <x:c r="AM23" s="10" t="n">
        <x:v>136.21</x:v>
      </x:c>
      <x:c r="AN23" s="10" t="n">
        <x:v>245</x:v>
      </x:c>
      <x:c r="AO23" s="9" t="str">
        <x:v>2026-10-20</x:v>
      </x:c>
      <x:c r="AP23" s="11" t="str">
        <x:f>HYPERLINK("https://www.pricecharting.com/search-products?q=Mad+Dog+II%3A+The+Lost+Gold+sega+cd&amp;type=prices","PriceCharting")</x:f>
        <x:v>PriceCharting</x:v>
      </x:c>
      <x:c r="AQ23" s="9"/>
      <x:c r="AR23" s="9"/>
      <x:c r="AS23" s="9"/>
      <x:c r="AT23" s="9"/>
      <x:c r="AU23" s="9"/>
      <x:c r="AV23" s="9"/>
      <x:c r="AW23" s="9"/>
      <x:c r="AX23" s="9"/>
      <x:c r="AY23" s="9" t="str">
        <x:v>58%</x:v>
      </x:c>
      <x:c r="AZ23" s="9" t="str">
        <x:v>3.8</x:v>
      </x:c>
      <x:c r="BA23" s="11" t="str">
        <x:f>HYPERLINK("https://www.mobygames.com/game/857/mad-dog-ii-the-lost-gold/","MobyGames")</x:f>
        <x:v>MobyGames</x:v>
      </x:c>
      <x:c r="BB23" s="9"/>
      <x:c r="BC23" s="9"/>
      <x:c r="BD23" s="9"/>
      <x:c r="BE23" s="11" t="str">
        <x:f>HYPERLINK("https://en.wikipedia.org/wiki/Mad_Dog_II:_The_Lost_Gold","Wikipedia")</x:f>
        <x:v>Wikipedia</x:v>
      </x:c>
      <x:c r="BF23" s="11" t="str">
        <x:f>HYPERLINK("https://backloggd.com/search/games/Mad%20Dog%20II%3A%20The%20Lost%20Gold/","Backloggd")</x:f>
        <x:v>Backloggd</x:v>
      </x:c>
      <x:c r="BG23" s="11" t="str">
        <x:f>HYPERLINK("https://segaretro.org/index.php?search=Mad+Dog+II%3A+The+Lost+Gold","Sega Retro")</x:f>
        <x:v>Sega Retro</x:v>
      </x:c>
      <x:c r="BH23" s="9"/>
      <x:c r="BI23" s="12" t="str">
        <x:v>No</x:v>
      </x:c>
      <x:c r="BJ23" s="12" t="str"/>
      <x:c r="BK23" s="12" t="str">
        <x:v>No</x:v>
      </x:c>
      <x:c r="BL23" s="12" t="str"/>
      <x:c r="BM23" s="12" t="str"/>
      <x:c r="BN23" s="12" t="str"/>
      <x:c r="BO23" s="12" t="str"/>
      <x:c r="BP23" s="12" t="str"/>
      <x:c r="BQ23" s="12" t="str"/>
    </x:row>
    <x:row r="24">
      <x:c r="A24" s="9" t="str">
        <x:v>segacd-23</x:v>
      </x:c>
      <x:c r="B24" s="9" t="str">
        <x:v>crime-patrol</x:v>
      </x:c>
      <x:c r="C24" s="9" t="str">
        <x:v>Sega CD</x:v>
      </x:c>
      <x:c r="D24" s="9" t="str">
        <x:v>Crime Patrol</x:v>
      </x:c>
      <x:c r="E24" s="9"/>
      <x:c r="F24" s="9" t="str">
        <x:v>American Laser Games</x:v>
      </x:c>
      <x:c r="G24" s="9" t="str">
        <x:v>American Laser Games</x:v>
      </x:c>
      <x:c r="H24" s="9" t="n">
        <x:v>1994</x:v>
      </x:c>
      <x:c r="I24" s="9" t="str">
        <x:v>Yes</x:v>
      </x:c>
      <x:c r="J24" s="9" t="str">
        <x:v>No</x:v>
      </x:c>
      <x:c r="K24" s="9" t="str">
        <x:v>No</x:v>
      </x:c>
      <x:c r="L24" s="9" t="str">
        <x:v>No</x:v>
      </x:c>
      <x:c r="M24" s="9" t="str">
        <x:v>Light-gun rail shooter</x:v>
      </x:c>
      <x:c r="N24" s="9" t="str">
        <x:v>Live-action</x:v>
      </x:c>
      <x:c r="O24" s="9" t="n">
        <x:v>10</x:v>
      </x:c>
      <x:c r="P24" s="9" t="str">
        <x:v>American Laser Games</x:v>
      </x:c>
      <x:c r="Q24" s="9" t="str">
        <x:v>Released</x:v>
      </x:c>
      <x:c r="R24" s="9" t="str">
        <x:v>1993 ALG laserdisc arcade game</x:v>
      </x:c>
      <x:c r="S24" s="9" t="str">
        <x:v>3DO, CD-i, PC, DVD</x:v>
      </x:c>
      <x:c r="T24" s="9" t="str">
        <x:v>—</x:v>
      </x:c>
      <x:c r="U24" s="9" t="n">
        <x:v>1</x:v>
      </x:c>
      <x:c r="V24" s="9" t="str">
        <x:v>No</x:v>
      </x:c>
      <x:c r="W24" s="9" t="str">
        <x:v>Controller, Sega Mouse, Menacer, Justifier</x:v>
      </x:c>
      <x:c r="X24" s="9" t="str">
        <x:v>Low</x:v>
      </x:c>
      <x:c r="Y24" s="9"/>
      <x:c r="Z24" s="9" t="str">
        <x:v>30–45 min</x:v>
      </x:c>
      <x:c r="AA24" s="9" t="str">
        <x:v>ALG's modern-day cop shooter where you climb from beat cop to anti-terrorist unit in 30 minutes of 1993 stock-action footage.</x:v>
      </x:c>
      <x:c r="AB24" s="9" t="str">
        <x:v>Difficulty and lives; rank progression (Rookie → Delta Force) is fixed.</x:v>
      </x:c>
      <x:c r="AC24" s="9" t="str">
        <x:v>Same engine; the urban footage is murkier than the westerns.</x:v>
      </x:c>
      <x:c r="AD24" s="9" t="str">
        <x:v>Hard — fast draws, lots of innocents to avoid.</x:v>
      </x:c>
      <x:c r="AE24" s="9" t="str">
        <x:v>Single ending after Delta Force stage.</x:v>
      </x:c>
      <x:c r="AF24" s="9" t="str">
        <x:v>Arcade 1993. The Sega CD port is one of the more expensive discs; the DVD-player version was a 2000s curiosity.</x:v>
      </x:c>
      <x:c r="AG24" s="9" t="str">
        <x:v>US only.</x:v>
      </x:c>
      <x:c r="AH24" s="9" t="str">
        <x:v>No verified current digital sale; original discs and legacy Digital Leisure editions (platforms vary).</x:v>
      </x:c>
      <x:c r="AI24" s="9" t="str">
        <x:v>Easy</x:v>
      </x:c>
      <x:c r="AJ24" s="9"/>
      <x:c r="AK24" s="9" t="str">
        <x:v>Menacer or controller.</x:v>
      </x:c>
      <x:c r="AL24" s="10" t="n">
        <x:v>61.96</x:v>
      </x:c>
      <x:c r="AM24" s="10" t="n">
        <x:v>143.9</x:v>
      </x:c>
      <x:c r="AN24" s="10" t="n">
        <x:v>265</x:v>
      </x:c>
      <x:c r="AO24" s="9" t="str">
        <x:v>2026-10-20</x:v>
      </x:c>
      <x:c r="AP24" s="11" t="str">
        <x:f>HYPERLINK("https://www.pricecharting.com/search-products?q=Crime+Patrol+sega+cd&amp;type=prices","PriceCharting")</x:f>
        <x:v>PriceCharting</x:v>
      </x:c>
      <x:c r="AQ24" s="9"/>
      <x:c r="AR24" s="9"/>
      <x:c r="AS24" s="9"/>
      <x:c r="AT24" s="9"/>
      <x:c r="AU24" s="9"/>
      <x:c r="AV24" s="9"/>
      <x:c r="AW24" s="9" t="str">
        <x:v>5/10</x:v>
      </x:c>
      <x:c r="AX24" s="9" t="str">
        <x:f>HYPERLINK("https://www.sega-16.com/2016/01/crime-patrol/","Sega-16")</x:f>
        <x:v>Sega-16</x:v>
      </x:c>
      <x:c r="AY24" s="9"/>
      <x:c r="AZ24" s="9"/>
      <x:c r="BA24" s="11" t="str">
        <x:f>HYPERLINK("https://www.mobygames.com/game/crime-patrol","MobyGames")</x:f>
        <x:v>MobyGames</x:v>
      </x:c>
      <x:c r="BB24" s="9"/>
      <x:c r="BC24" s="9"/>
      <x:c r="BD24" s="9"/>
      <x:c r="BE24" s="11" t="str">
        <x:f>HYPERLINK("https://en.wikipedia.org/wiki/Crime_Patrol_(video_game)","Wikipedia")</x:f>
        <x:v>Wikipedia</x:v>
      </x:c>
      <x:c r="BF24" s="11" t="str">
        <x:f>HYPERLINK("https://backloggd.com/search/games/Crime%20Patrol/","Backloggd")</x:f>
        <x:v>Backloggd</x:v>
      </x:c>
      <x:c r="BG24" s="11" t="str">
        <x:f>HYPERLINK("https://segaretro.org/index.php?search=Crime+Patrol","Sega Retro")</x:f>
        <x:v>Sega Retro</x:v>
      </x:c>
      <x:c r="BH24" s="9"/>
      <x:c r="BI24" s="12" t="str">
        <x:v>No</x:v>
      </x:c>
      <x:c r="BJ24" s="12" t="str"/>
      <x:c r="BK24" s="12" t="str">
        <x:v>No</x:v>
      </x:c>
      <x:c r="BL24" s="12" t="str"/>
      <x:c r="BM24" s="12" t="str"/>
      <x:c r="BN24" s="12" t="str"/>
      <x:c r="BO24" s="12" t="str"/>
      <x:c r="BP24" s="12" t="str"/>
      <x:c r="BQ24" s="12" t="str"/>
    </x:row>
    <x:row r="25">
      <x:c r="A25" s="9" t="str">
        <x:v>segacd-24</x:v>
      </x:c>
      <x:c r="B25" s="9" t="str">
        <x:v>who-shot-johnny-rock</x:v>
      </x:c>
      <x:c r="C25" s="9" t="str">
        <x:v>Sega CD</x:v>
      </x:c>
      <x:c r="D25" s="9" t="str">
        <x:v>Who Shot Johnny Rock?</x:v>
      </x:c>
      <x:c r="E25" s="9"/>
      <x:c r="F25" s="9" t="str">
        <x:v>American Laser Games</x:v>
      </x:c>
      <x:c r="G25" s="9" t="str">
        <x:v>American Laser Games</x:v>
      </x:c>
      <x:c r="H25" s="9" t="n">
        <x:v>1994</x:v>
      </x:c>
      <x:c r="I25" s="9" t="str">
        <x:v>Yes</x:v>
      </x:c>
      <x:c r="J25" s="9" t="str">
        <x:v>No</x:v>
      </x:c>
      <x:c r="K25" s="9" t="str">
        <x:v>No</x:v>
      </x:c>
      <x:c r="L25" s="9" t="str">
        <x:v>No</x:v>
      </x:c>
      <x:c r="M25" s="9" t="str">
        <x:v>Light-gun rail shooter</x:v>
      </x:c>
      <x:c r="N25" s="9" t="str">
        <x:v>Live-action</x:v>
      </x:c>
      <x:c r="O25" s="9" t="n">
        <x:v>10</x:v>
      </x:c>
      <x:c r="P25" s="9" t="str">
        <x:v>American Laser Games</x:v>
      </x:c>
      <x:c r="Q25" s="9" t="str">
        <x:v>Released</x:v>
      </x:c>
      <x:c r="R25" s="9" t="str">
        <x:v>1991 ALG laserdisc arcade game</x:v>
      </x:c>
      <x:c r="S25" s="9" t="str">
        <x:v>3DO, CD-i, PC, DVD</x:v>
      </x:c>
      <x:c r="T25" s="9" t="str">
        <x:v>—</x:v>
      </x:c>
      <x:c r="U25" s="9" t="n">
        <x:v>1</x:v>
      </x:c>
      <x:c r="V25" s="9" t="str">
        <x:v>No</x:v>
      </x:c>
      <x:c r="W25" s="9" t="str">
        <x:v>Controller, Sega Mouse, Menacer, Justifier</x:v>
      </x:c>
      <x:c r="X25" s="9" t="str">
        <x:v>Low</x:v>
      </x:c>
      <x:c r="Y25" s="9"/>
      <x:c r="Z25" s="9" t="str">
        <x:v>20–30 min</x:v>
      </x:c>
      <x:c r="AA25" s="9" t="str">
        <x:v>A light-gun murder mystery with a randomised killer — the only ALG game that's actually replayable.</x:v>
      </x:c>
      <x:c r="AB25" s="9" t="str">
        <x:v>Difficulty settings; you can revisit locations freely to gather clues.</x:v>
      </x:c>
      <x:c r="AC25" s="9" t="str">
        <x:v>Same engine; 1930s costume footage is well lit.</x:v>
      </x:c>
      <x:c r="AD25" s="9" t="str">
        <x:v>Medium — shooting is easy, the whodunnit requires the right clue order.</x:v>
      </x:c>
      <x:c r="AE25" s="9" t="str">
        <x:v>Culprit is randomised each game (5 suspects), so several endings.</x:v>
      </x:c>
      <x:c r="AF25" s="9" t="str">
        <x:v>Arcade 1991. Features a 'budget' system: pay for your lives with cash earned from clues.</x:v>
      </x:c>
      <x:c r="AG25" s="9" t="str">
        <x:v>US only.</x:v>
      </x:c>
      <x:c r="AH25" s="9" t="str">
        <x:v>No verified current digital sale; original discs and legacy Digital Leisure editions (platforms vary).</x:v>
      </x:c>
      <x:c r="AI25" s="9" t="str">
        <x:v>Easy</x:v>
      </x:c>
      <x:c r="AJ25" s="9"/>
      <x:c r="AK25" s="9" t="str">
        <x:v>1930s gangster detective theme. Menacer or controller.</x:v>
      </x:c>
      <x:c r="AL25" s="10" t="n">
        <x:v>18.47</x:v>
      </x:c>
      <x:c r="AM25" s="10" t="n">
        <x:v>37.25</x:v>
      </x:c>
      <x:c r="AN25" s="10" t="n">
        <x:v>71.5</x:v>
      </x:c>
      <x:c r="AO25" s="9" t="str">
        <x:v>2026-10-20</x:v>
      </x:c>
      <x:c r="AP25" s="11" t="str">
        <x:f>HYPERLINK("https://www.pricecharting.com/search-products?q=Who+Shot+Johnny+Rock%3F+sega+cd&amp;type=prices","PriceCharting")</x:f>
        <x:v>PriceCharting</x:v>
      </x:c>
      <x:c r="AQ25" s="9"/>
      <x:c r="AR25" s="9"/>
      <x:c r="AS25" s="9"/>
      <x:c r="AT25" s="9"/>
      <x:c r="AU25" s="9"/>
      <x:c r="AV25" s="9"/>
      <x:c r="AW25" s="9"/>
      <x:c r="AX25" s="9"/>
      <x:c r="AY25" s="9"/>
      <x:c r="AZ25" s="9"/>
      <x:c r="BA25" s="11" t="str">
        <x:f>HYPERLINK("https://www.mobygames.com/game/sega-cd/who-shot-johnny-rock/","MobyGames")</x:f>
        <x:v>MobyGames</x:v>
      </x:c>
      <x:c r="BB25" s="9" t="str">
        <x:v>30%</x:v>
      </x:c>
      <x:c r="BC25" s="9" t="str">
        <x:v>average of 1 review on Wikipedia (Allgame)</x:v>
      </x:c>
      <x:c r="BD25" s="9" t="str">
        <x:f>HYPERLINK("https://en.wikipedia.org/wiki/Who_Shot_Johnny_Rock%3F","Source")</x:f>
        <x:v>Source</x:v>
      </x:c>
      <x:c r="BE25" s="11" t="str">
        <x:f>HYPERLINK("https://en.wikipedia.org/wiki/Who_Shot_Johnny_Rock%3F","Wikipedia")</x:f>
        <x:v>Wikipedia</x:v>
      </x:c>
      <x:c r="BF25" s="11" t="str">
        <x:f>HYPERLINK("https://backloggd.com/search/games/Who%20Shot%20Johnny%20Rock%3F/","Backloggd")</x:f>
        <x:v>Backloggd</x:v>
      </x:c>
      <x:c r="BG25" s="11" t="str">
        <x:f>HYPERLINK("https://segaretro.org/index.php?search=Who+Shot+Johnny+Rock%3F","Sega Retro")</x:f>
        <x:v>Sega Retro</x:v>
      </x:c>
      <x:c r="BH25" s="9"/>
      <x:c r="BI25" s="12" t="str">
        <x:v>Yes</x:v>
      </x:c>
      <x:c r="BJ25" s="12" t="str">
        <x:v>Original disc</x:v>
      </x:c>
      <x:c r="BK25" s="12" t="str">
        <x:v>No</x:v>
      </x:c>
      <x:c r="BL25" s="12" t="str"/>
      <x:c r="BM25" s="12" t="str"/>
      <x:c r="BN25" s="12" t="str"/>
      <x:c r="BO25" s="12" t="str"/>
      <x:c r="BP25" s="12" t="str"/>
      <x:c r="BQ25" s="12" t="str"/>
    </x:row>
    <x:row r="26">
      <x:c r="A26" s="9" t="str">
        <x:v>segacd-25</x:v>
      </x:c>
      <x:c r="B26" s="9" t="str">
        <x:v>tomcat-alley</x:v>
      </x:c>
      <x:c r="C26" s="9" t="str">
        <x:v>Sega CD</x:v>
      </x:c>
      <x:c r="D26" s="9" t="str">
        <x:v>Tomcat Alley</x:v>
      </x:c>
      <x:c r="E26" s="9"/>
      <x:c r="F26" s="9" t="str">
        <x:v>Sega Multimedia Studio / The Code Monkeys</x:v>
      </x:c>
      <x:c r="G26" s="9" t="str">
        <x:v>Sega</x:v>
      </x:c>
      <x:c r="H26" s="9" t="n">
        <x:v>1994</x:v>
      </x:c>
      <x:c r="I26" s="9" t="str">
        <x:v>Yes</x:v>
      </x:c>
      <x:c r="J26" s="9" t="str">
        <x:v>Yes</x:v>
      </x:c>
      <x:c r="K26" s="9" t="str">
        <x:v>Yes</x:v>
      </x:c>
      <x:c r="L26" s="9" t="str">
        <x:v>No</x:v>
      </x:c>
      <x:c r="M26" s="9" t="str">
        <x:v>Flight combat / interactive movie</x:v>
      </x:c>
      <x:c r="N26" s="9" t="str">
        <x:v>Live-action</x:v>
      </x:c>
      <x:c r="O26" s="9" t="n">
        <x:v>10</x:v>
      </x:c>
      <x:c r="P26" s="9" t="str">
        <x:v>Sega FMV</x:v>
      </x:c>
      <x:c r="Q26" s="9" t="str">
        <x:v>Released</x:v>
      </x:c>
      <x:c r="R26" s="9" t="str">
        <x:v>Original</x:v>
      </x:c>
      <x:c r="S26" s="9" t="str">
        <x:v>PC</x:v>
      </x:c>
      <x:c r="T26" s="9" t="str">
        <x:v>—</x:v>
      </x:c>
      <x:c r="U26" s="9" t="n">
        <x:v>1</x:v>
      </x:c>
      <x:c r="V26" s="9" t="str">
        <x:v>No</x:v>
      </x:c>
      <x:c r="W26" s="9" t="str">
        <x:v>Controller</x:v>
      </x:c>
      <x:c r="X26" s="9" t="str">
        <x:v>Low</x:v>
      </x:c>
      <x:c r="Y26" s="9"/>
      <x:c r="Z26" s="9" t="str">
        <x:v>1 hr</x:v>
      </x:c>
      <x:c r="AA26" s="9" t="str">
        <x:v>Top Gun as a point-and-click, made by Sega itself, starring an F-14 and an actor doing his best Maverick.</x:v>
      </x:c>
      <x:c r="AB26" s="9" t="str">
        <x:v>Mission select / password-style codes exist (verify).</x:v>
      </x:c>
      <x:c r="AC26" s="9" t="str">
        <x:v>Full-screen cockpit footage with overlaid HUD; ~15 fps; surprisingly watchable.</x:v>
      </x:c>
      <x:c r="AD26" s="9" t="str">
        <x:v>Medium — mostly timed clicks; later missions punish slow target acquisition.</x:v>
      </x:c>
      <x:c r="AE26" s="9" t="str">
        <x:v>Single ending; failure sequences per mission.</x:v>
      </x:c>
      <x:c r="AF26" s="9" t="str">
        <x:v>Developed by Sega Multimedia Studio with The Code Monkeys; real F-14 footage licensed from the US Navy. Later PC port.</x:v>
      </x:c>
      <x:c r="AG26" s="9" t="str">
        <x:v>US, PAL, JP.</x:v>
      </x:c>
      <x:c r="AH26" s="9" t="str">
        <x:v>No</x:v>
      </x:c>
      <x:c r="AI26" s="9" t="str">
        <x:v>Easy</x:v>
      </x:c>
      <x:c r="AJ26" s="9"/>
      <x:c r="AK26" s="9" t="str">
        <x:v>Point-and-click dogfighting with live actors. Widely released; cheap.</x:v>
      </x:c>
      <x:c r="AL26" s="10" t="n">
        <x:v>8.25</x:v>
      </x:c>
      <x:c r="AM26" s="10" t="n">
        <x:v>18.93</x:v>
      </x:c>
      <x:c r="AN26" s="10" t="n">
        <x:v>36.99</x:v>
      </x:c>
      <x:c r="AO26" s="9" t="str">
        <x:v>2026-10-20</x:v>
      </x:c>
      <x:c r="AP26" s="11" t="str">
        <x:f>HYPERLINK("https://www.pricecharting.com/search-products?q=Tomcat+Alley+sega+cd&amp;type=prices","PriceCharting")</x:f>
        <x:v>PriceCharting</x:v>
      </x:c>
      <x:c r="AQ26" s="9"/>
      <x:c r="AR26" s="9"/>
      <x:c r="AS26" s="9"/>
      <x:c r="AT26" s="9"/>
      <x:c r="AU26" s="9"/>
      <x:c r="AV26" s="9"/>
      <x:c r="AW26" s="9" t="str">
        <x:v>6/10</x:v>
      </x:c>
      <x:c r="AX26" s="9" t="str">
        <x:f>HYPERLINK("https://www.sega-16.com/2009/03/tomcat-alley/","Sega-16")</x:f>
        <x:v>Sega-16</x:v>
      </x:c>
      <x:c r="AY26" s="9" t="str">
        <x:v>68%</x:v>
      </x:c>
      <x:c r="AZ26" s="9" t="str">
        <x:v>3.1</x:v>
      </x:c>
      <x:c r="BA26" s="11" t="str">
        <x:f>HYPERLINK("https://www.mobygames.com/game/8335/tomcat-alley/","MobyGames")</x:f>
        <x:v>MobyGames</x:v>
      </x:c>
      <x:c r="BB26" s="9"/>
      <x:c r="BC26" s="9"/>
      <x:c r="BD26" s="9"/>
      <x:c r="BE26" s="11" t="str">
        <x:f>HYPERLINK("https://en.wikipedia.org/wiki/Tomcat_Alley","Wikipedia")</x:f>
        <x:v>Wikipedia</x:v>
      </x:c>
      <x:c r="BF26" s="11" t="str">
        <x:f>HYPERLINK("https://backloggd.com/search/games/Tomcat%20Alley/","Backloggd")</x:f>
        <x:v>Backloggd</x:v>
      </x:c>
      <x:c r="BG26" s="11" t="str">
        <x:f>HYPERLINK("https://segaretro.org/index.php?search=Tomcat+Alley","Sega Retro")</x:f>
        <x:v>Sega Retro</x:v>
      </x:c>
      <x:c r="BH26" s="9"/>
      <x:c r="BI26" s="12" t="str">
        <x:v>No</x:v>
      </x:c>
      <x:c r="BJ26" s="12" t="str"/>
      <x:c r="BK26" s="12" t="str">
        <x:v>No</x:v>
      </x:c>
      <x:c r="BL26" s="12" t="str"/>
      <x:c r="BM26" s="12" t="str"/>
      <x:c r="BN26" s="12" t="str"/>
      <x:c r="BO26" s="12" t="str"/>
      <x:c r="BP26" s="12" t="str"/>
      <x:c r="BQ26" s="12" t="str"/>
    </x:row>
    <x:row r="27">
      <x:c r="A27" s="9" t="str">
        <x:v>segacd-26</x:v>
      </x:c>
      <x:c r="B27" s="9" t="str">
        <x:v>surgical-strike</x:v>
      </x:c>
      <x:c r="C27" s="9" t="str">
        <x:v>Sega CD</x:v>
      </x:c>
      <x:c r="D27" s="9" t="str">
        <x:v>Surgical Strike</x:v>
      </x:c>
      <x:c r="E27" s="9"/>
      <x:c r="F27" s="9" t="str">
        <x:v>The Code Monkeys</x:v>
      </x:c>
      <x:c r="G27" s="9" t="str">
        <x:v>Sega</x:v>
      </x:c>
      <x:c r="H27" s="9" t="n">
        <x:v>1995</x:v>
      </x:c>
      <x:c r="I27" s="9" t="str">
        <x:v>Yes</x:v>
      </x:c>
      <x:c r="J27" s="9" t="str">
        <x:v>No</x:v>
      </x:c>
      <x:c r="K27" s="9" t="str">
        <x:v>Yes</x:v>
      </x:c>
      <x:c r="L27" s="9" t="str">
        <x:v>Yes</x:v>
      </x:c>
      <x:c r="M27" s="9" t="str">
        <x:v>Rail shooter</x:v>
      </x:c>
      <x:c r="N27" s="9" t="str">
        <x:v>Live-action</x:v>
      </x:c>
      <x:c r="O27" s="9" t="n">
        <x:v>10</x:v>
      </x:c>
      <x:c r="P27" s="9" t="str">
        <x:v>Sega FMV</x:v>
      </x:c>
      <x:c r="Q27" s="9" t="str">
        <x:v>Released</x:v>
      </x:c>
      <x:c r="R27" s="9" t="str">
        <x:v>Original</x:v>
      </x:c>
      <x:c r="S27" s="9" t="str">
        <x:v>32X CD (Brazil only)</x:v>
      </x:c>
      <x:c r="T27" s="9" t="str">
        <x:v>—</x:v>
      </x:c>
      <x:c r="U27" s="9" t="n">
        <x:v>1</x:v>
      </x:c>
      <x:c r="V27" s="9" t="str">
        <x:v>No</x:v>
      </x:c>
      <x:c r="W27" s="9" t="str">
        <x:v>Controller</x:v>
      </x:c>
      <x:c r="X27" s="9" t="str">
        <x:v>Low</x:v>
      </x:c>
      <x:c r="Y27" s="9"/>
      <x:c r="Z27" s="9" t="str">
        <x:v>1 hr</x:v>
      </x:c>
      <x:c r="AA27" s="9" t="str">
        <x:v>Sega's hovercraft commando shooter, and the only Sega CD game whose 32X version was released exclusively in Brazil.</x:v>
      </x:c>
      <x:c r="AB27" s="9" t="str">
        <x:v>No codes listed on GameFAQs. Tip: at the end of stage one, shoot the machine in the bottom-right corner with the Gatling gun to stop the missile launches. (GameFAQs)</x:v>
      </x:c>
      <x:c r="AC27" s="9" t="str">
        <x:v>Full-screen, ~15 fps; the 32X CD version has far better colour.</x:v>
      </x:c>
      <x:c r="AD27" s="9" t="str">
        <x:v>Medium-hard — route choices with instant failure branches.</x:v>
      </x:c>
      <x:c r="AE27" s="9" t="str">
        <x:v>Single ending; many failure branches.</x:v>
      </x:c>
      <x:c r="AF27" s="9" t="str">
        <x:v>Code Monkeys developed; Tec Toy published the 32X CD version in Brazil in 1995. Live actors plus miniatures.</x:v>
      </x:c>
      <x:c r="AG27" s="9" t="str">
        <x:v>Sega CD (US, PAL), 32X CD (Brazil only, very expensive).</x:v>
      </x:c>
      <x:c r="AH27" s="9" t="str">
        <x:v>No</x:v>
      </x:c>
      <x:c r="AI27" s="9" t="str">
        <x:v>Easy</x:v>
      </x:c>
      <x:c r="AJ27" s="9"/>
      <x:c r="AK27" s="9" t="str">
        <x:v>Hovercraft shooter. The 32X CD version was released only in Brazil (Tec Toy).</x:v>
      </x:c>
      <x:c r="AL27" s="10" t="n">
        <x:v>20</x:v>
      </x:c>
      <x:c r="AM27" s="10" t="n">
        <x:v>22.23</x:v>
      </x:c>
      <x:c r="AN27" s="10" t="n">
        <x:v>41</x:v>
      </x:c>
      <x:c r="AO27" s="9" t="str">
        <x:v>2026-10-20</x:v>
      </x:c>
      <x:c r="AP27" s="11" t="str">
        <x:f>HYPERLINK("https://www.pricecharting.com/search-products?q=Surgical+Strike+sega+cd&amp;type=prices","PriceCharting")</x:f>
        <x:v>PriceCharting</x:v>
      </x:c>
      <x:c r="AQ27" s="9"/>
      <x:c r="AR27" s="9"/>
      <x:c r="AS27" s="9"/>
      <x:c r="AT27" s="9"/>
      <x:c r="AU27" s="9"/>
      <x:c r="AV27" s="9"/>
      <x:c r="AW27" s="9" t="str">
        <x:v>3/10</x:v>
      </x:c>
      <x:c r="AX27" s="9" t="str">
        <x:f>HYPERLINK("https://www.sega-16.com/2010/06/surgical-strike/","Sega-16")</x:f>
        <x:v>Sega-16</x:v>
      </x:c>
      <x:c r="AY27" s="9" t="str">
        <x:v>52%</x:v>
      </x:c>
      <x:c r="AZ27" s="9" t="str">
        <x:v>2.1</x:v>
      </x:c>
      <x:c r="BA27" s="11" t="str">
        <x:f>HYPERLINK("https://www.mobygames.com/game/27338/surgical-strike/","MobyGames")</x:f>
        <x:v>MobyGames</x:v>
      </x:c>
      <x:c r="BB27" s="9"/>
      <x:c r="BC27" s="9"/>
      <x:c r="BD27" s="9"/>
      <x:c r="BE27" s="11" t="str">
        <x:f>HYPERLINK("https://en.wikipedia.org/wiki/Surgical_Strike_(video_game)","Wikipedia")</x:f>
        <x:v>Wikipedia</x:v>
      </x:c>
      <x:c r="BF27" s="11" t="str">
        <x:f>HYPERLINK("https://backloggd.com/search/games/Surgical%20Strike/","Backloggd")</x:f>
        <x:v>Backloggd</x:v>
      </x:c>
      <x:c r="BG27" s="11" t="str">
        <x:f>HYPERLINK("https://segaretro.org/index.php?search=Surgical+Strike","Sega Retro")</x:f>
        <x:v>Sega Retro</x:v>
      </x:c>
      <x:c r="BH27" s="9"/>
      <x:c r="BI27" s="12" t="str">
        <x:v>No</x:v>
      </x:c>
      <x:c r="BJ27" s="12" t="str"/>
      <x:c r="BK27" s="12" t="str">
        <x:v>No</x:v>
      </x:c>
      <x:c r="BL27" s="12" t="str"/>
      <x:c r="BM27" s="12" t="str"/>
      <x:c r="BN27" s="12" t="str"/>
      <x:c r="BO27" s="12" t="str"/>
      <x:c r="BP27" s="12" t="str"/>
      <x:c r="BQ27" s="12" t="str"/>
    </x:row>
    <x:row r="28">
      <x:c r="A28" s="9" t="str">
        <x:v>segacd-27</x:v>
      </x:c>
      <x:c r="B28" s="9" t="str">
        <x:v>midnight-raiders</x:v>
      </x:c>
      <x:c r="C28" s="9" t="str">
        <x:v>Sega CD</x:v>
      </x:c>
      <x:c r="D28" s="9" t="str">
        <x:v>Midnight Raiders</x:v>
      </x:c>
      <x:c r="E28" s="9"/>
      <x:c r="F28" s="9" t="str">
        <x:v>Stargate Productions / Sega</x:v>
      </x:c>
      <x:c r="G28" s="9" t="str">
        <x:v>Sega</x:v>
      </x:c>
      <x:c r="H28" s="9" t="n">
        <x:v>1994</x:v>
      </x:c>
      <x:c r="I28" s="9" t="str">
        <x:v>Yes</x:v>
      </x:c>
      <x:c r="J28" s="9" t="str">
        <x:v>No</x:v>
      </x:c>
      <x:c r="K28" s="9" t="str">
        <x:v>No</x:v>
      </x:c>
      <x:c r="L28" s="9" t="str">
        <x:v>No</x:v>
      </x:c>
      <x:c r="M28" s="9" t="str">
        <x:v>Helicopter rail shooter</x:v>
      </x:c>
      <x:c r="N28" s="9" t="str">
        <x:v>Live-action</x:v>
      </x:c>
      <x:c r="O28" s="9" t="n">
        <x:v>10</x:v>
      </x:c>
      <x:c r="P28" s="9" t="str">
        <x:v>Sega FMV</x:v>
      </x:c>
      <x:c r="Q28" s="9" t="str">
        <x:v>Released</x:v>
      </x:c>
      <x:c r="R28" s="9" t="str">
        <x:v>Original</x:v>
      </x:c>
      <x:c r="S28" s="9" t="str">
        <x:v>Sega CD only</x:v>
      </x:c>
      <x:c r="T28" s="9" t="str">
        <x:v>—</x:v>
      </x:c>
      <x:c r="U28" s="9" t="n">
        <x:v>1</x:v>
      </x:c>
      <x:c r="V28" s="9" t="str">
        <x:v>No</x:v>
      </x:c>
      <x:c r="W28" s="9" t="str">
        <x:v>Controller</x:v>
      </x:c>
      <x:c r="X28" s="9" t="str">
        <x:v>Low</x:v>
      </x:c>
      <x:c r="Y28" s="9"/>
      <x:c r="Z28" s="9" t="str">
        <x:v>1 hr</x:v>
      </x:c>
      <x:c r="AA28" s="9" t="str">
        <x:v>The Apache-helicopter cousin of Tomcat Alley that nobody remembers, from the same Sega studio.</x:v>
      </x:c>
      <x:c r="AB28" s="9" t="str">
        <x:v>Mission select code exists (verify).</x:v>
      </x:c>
      <x:c r="AC28" s="9" t="str">
        <x:v>Full-screen helicopter footage, ~15 fps.</x:v>
      </x:c>
      <x:c r="AD28" s="9" t="str">
        <x:v>Medium.</x:v>
      </x:c>
      <x:c r="AE28" s="9" t="str">
        <x:v>Single ending.</x:v>
      </x:c>
      <x:c r="AF28" s="9" t="str">
        <x:v>Stargate Productions handled the shoot; Sega Multimedia Studio's last rail shooter before Wirehead.</x:v>
      </x:c>
      <x:c r="AG28" s="9" t="str">
        <x:v>US only.</x:v>
      </x:c>
      <x:c r="AH28" s="9" t="str">
        <x:v>No</x:v>
      </x:c>
      <x:c r="AI28" s="9" t="str">
        <x:v>Easy</x:v>
      </x:c>
      <x:c r="AJ28" s="9"/>
      <x:c r="AK28" s="9" t="str">
        <x:v>Apache helicopter shooter with a long FMV campaign.</x:v>
      </x:c>
      <x:c r="AL28" s="10" t="n">
        <x:v>12.53</x:v>
      </x:c>
      <x:c r="AM28" s="10" t="n">
        <x:v>20.49</x:v>
      </x:c>
      <x:c r="AN28" s="10" t="n">
        <x:v>42.86</x:v>
      </x:c>
      <x:c r="AO28" s="9" t="str">
        <x:v>2026-10-20</x:v>
      </x:c>
      <x:c r="AP28" s="11" t="str">
        <x:f>HYPERLINK("https://www.pricecharting.com/search-products?q=Midnight+Raiders+sega+cd&amp;type=prices","PriceCharting")</x:f>
        <x:v>PriceCharting</x:v>
      </x:c>
      <x:c r="AQ28" s="9"/>
      <x:c r="AR28" s="9"/>
      <x:c r="AS28" s="9"/>
      <x:c r="AT28" s="9"/>
      <x:c r="AU28" s="9"/>
      <x:c r="AV28" s="9"/>
      <x:c r="AW28" s="9"/>
      <x:c r="AX28" s="9"/>
      <x:c r="AY28" s="9" t="str">
        <x:v>42%</x:v>
      </x:c>
      <x:c r="AZ28" s="9" t="str">
        <x:v>2.8</x:v>
      </x:c>
      <x:c r="BA28" s="11" t="str">
        <x:f>HYPERLINK("https://www.mobygames.com/game/23867/midnight-raiders/","MobyGames")</x:f>
        <x:v>MobyGames</x:v>
      </x:c>
      <x:c r="BB28" s="9"/>
      <x:c r="BC28" s="9"/>
      <x:c r="BD28" s="9"/>
      <x:c r="BE28" s="11" t="str">
        <x:f>HYPERLINK("https://en.wikipedia.org/wiki/Midnight_Raiders","Wikipedia")</x:f>
        <x:v>Wikipedia</x:v>
      </x:c>
      <x:c r="BF28" s="11" t="str">
        <x:f>HYPERLINK("https://backloggd.com/search/games/Midnight%20Raiders/","Backloggd")</x:f>
        <x:v>Backloggd</x:v>
      </x:c>
      <x:c r="BG28" s="11" t="str">
        <x:f>HYPERLINK("https://segaretro.org/index.php?search=Midnight+Raiders","Sega Retro")</x:f>
        <x:v>Sega Retro</x:v>
      </x:c>
      <x:c r="BH28" s="9"/>
      <x:c r="BI28" s="12" t="str">
        <x:v>No</x:v>
      </x:c>
      <x:c r="BJ28" s="12" t="str"/>
      <x:c r="BK28" s="12" t="str">
        <x:v>No</x:v>
      </x:c>
      <x:c r="BL28" s="12" t="str"/>
      <x:c r="BM28" s="12" t="str"/>
      <x:c r="BN28" s="12" t="str"/>
      <x:c r="BO28" s="12" t="str"/>
      <x:c r="BP28" s="12" t="str"/>
      <x:c r="BQ28" s="12" t="str"/>
    </x:row>
    <x:row r="29">
      <x:c r="A29" s="9" t="str">
        <x:v>segacd-28</x:v>
      </x:c>
      <x:c r="B29" s="9" t="str">
        <x:v>wirehead</x:v>
      </x:c>
      <x:c r="C29" s="9" t="str">
        <x:v>Sega CD</x:v>
      </x:c>
      <x:c r="D29" s="9" t="str">
        <x:v>Wirehead</x:v>
      </x:c>
      <x:c r="E29" s="9"/>
      <x:c r="F29" s="9" t="str">
        <x:v>Callisto Corporation</x:v>
      </x:c>
      <x:c r="G29" s="9" t="str">
        <x:v>Sega</x:v>
      </x:c>
      <x:c r="H29" s="9" t="n">
        <x:v>1995</x:v>
      </x:c>
      <x:c r="I29" s="9" t="str">
        <x:v>Yes</x:v>
      </x:c>
      <x:c r="J29" s="9" t="str">
        <x:v>No</x:v>
      </x:c>
      <x:c r="K29" s="9" t="str">
        <x:v>Yes</x:v>
      </x:c>
      <x:c r="L29" s="9" t="str">
        <x:v>No</x:v>
      </x:c>
      <x:c r="M29" s="9" t="str">
        <x:v>Interactive movie / QTE</x:v>
      </x:c>
      <x:c r="N29" s="9" t="str">
        <x:v>Live-action</x:v>
      </x:c>
      <x:c r="O29" s="9" t="n">
        <x:v>10</x:v>
      </x:c>
      <x:c r="P29" s="9" t="str">
        <x:v>Sega FMV</x:v>
      </x:c>
      <x:c r="Q29" s="9" t="str">
        <x:v>Released</x:v>
      </x:c>
      <x:c r="R29" s="9" t="str">
        <x:v>Original</x:v>
      </x:c>
      <x:c r="S29" s="9" t="str">
        <x:v>Sega CD only</x:v>
      </x:c>
      <x:c r="T29" s="9" t="str">
        <x:v>—</x:v>
      </x:c>
      <x:c r="U29" s="9" t="n">
        <x:v>1</x:v>
      </x:c>
      <x:c r="V29" s="9" t="str">
        <x:v>No</x:v>
      </x:c>
      <x:c r="W29" s="9" t="str">
        <x:v>Controller</x:v>
      </x:c>
      <x:c r="X29" s="9" t="str">
        <x:v>Low</x:v>
      </x:c>
      <x:c r="Y29" s="9"/>
      <x:c r="Z29" s="9" t="str">
        <x:v>45 min</x:v>
      </x:c>
      <x:c r="AA29" s="9" t="str">
        <x:v>A slapstick 'Road Avenger with a dad' — one of the last and best-made Sega FMV games, released after most people had moved on.</x:v>
      </x:c>
      <x:c r="AB29" s="9" t="str">
        <x:v>Shortcut: on the first level ride the skateboard off the loading dock and press Up twice to land in the jeep and go straight to the airport. No level select confirmed. (FMV World)</x:v>
      </x:c>
      <x:c r="AC29" s="9" t="str">
        <x:v>Full-screen, ~15 fps, bright lighting; good by Sega CD standards.</x:v>
      </x:c>
      <x:c r="AD29" s="9" t="str">
        <x:v>Medium — directional prompts, generous timing.</x:v>
      </x:c>
      <x:c r="AE29" s="9" t="str">
        <x:v>Single ending; many comedic death scenes.</x:v>
      </x:c>
      <x:c r="AF29" s="9" t="str">
        <x:v>Callisto Corporation developed; one of Sega's final first-party Sega CD releases in 1995.</x:v>
      </x:c>
      <x:c r="AG29" s="9" t="str">
        <x:v>US, PAL.</x:v>
      </x:c>
      <x:c r="AH29" s="9" t="str">
        <x:v>No</x:v>
      </x:c>
      <x:c r="AI29" s="9" t="str">
        <x:v>Easy</x:v>
      </x:c>
      <x:c r="AJ29" s="9"/>
      <x:c r="AK29" s="9" t="str">
        <x:v>Comedic directional-prompt game. One of the later Sega CD releases.</x:v>
      </x:c>
      <x:c r="AL29" s="10" t="n">
        <x:v>17.24</x:v>
      </x:c>
      <x:c r="AM29" s="10" t="n">
        <x:v>45.86</x:v>
      </x:c>
      <x:c r="AN29" s="10" t="n">
        <x:v>74.24</x:v>
      </x:c>
      <x:c r="AO29" s="9" t="str">
        <x:v>2026-10-20</x:v>
      </x:c>
      <x:c r="AP29" s="11" t="str">
        <x:f>HYPERLINK("https://www.pricecharting.com/search-products?q=Wirehead+sega+cd&amp;type=prices","PriceCharting")</x:f>
        <x:v>PriceCharting</x:v>
      </x:c>
      <x:c r="AQ29" s="9"/>
      <x:c r="AR29" s="9"/>
      <x:c r="AS29" s="9"/>
      <x:c r="AT29" s="9"/>
      <x:c r="AU29" s="9"/>
      <x:c r="AV29" s="9"/>
      <x:c r="AW29" s="9" t="str">
        <x:v>9/10</x:v>
      </x:c>
      <x:c r="AX29" s="9" t="str">
        <x:f>HYPERLINK("https://www.sega-16.com/2008/09/wirehead/","Sega-16")</x:f>
        <x:v>Sega-16</x:v>
      </x:c>
      <x:c r="AY29" s="9" t="str">
        <x:v>50%</x:v>
      </x:c>
      <x:c r="AZ29" s="9" t="str">
        <x:v>3.4</x:v>
      </x:c>
      <x:c r="BA29" s="11" t="str">
        <x:f>HYPERLINK("https://www.mobygames.com/game/21783/wirehead/","MobyGames")</x:f>
        <x:v>MobyGames</x:v>
      </x:c>
      <x:c r="BB29" s="9"/>
      <x:c r="BC29" s="9"/>
      <x:c r="BD29" s="9"/>
      <x:c r="BE29" s="11" t="str">
        <x:f>HYPERLINK("https://en.wikipedia.org/wiki/Wirehead_(video_game)","Wikipedia")</x:f>
        <x:v>Wikipedia</x:v>
      </x:c>
      <x:c r="BF29" s="11" t="str">
        <x:f>HYPERLINK("https://backloggd.com/search/games/Wirehead/","Backloggd")</x:f>
        <x:v>Backloggd</x:v>
      </x:c>
      <x:c r="BG29" s="11" t="str">
        <x:f>HYPERLINK("https://segaretro.org/index.php?search=Wirehead","Sega Retro")</x:f>
        <x:v>Sega Retro</x:v>
      </x:c>
      <x:c r="BH29" s="9"/>
      <x:c r="BI29" s="12" t="str">
        <x:v>No</x:v>
      </x:c>
      <x:c r="BJ29" s="12" t="str"/>
      <x:c r="BK29" s="12" t="str">
        <x:v>No</x:v>
      </x:c>
      <x:c r="BL29" s="12" t="str"/>
      <x:c r="BM29" s="12" t="str"/>
      <x:c r="BN29" s="12" t="str"/>
      <x:c r="BO29" s="12" t="str"/>
      <x:c r="BP29" s="12" t="str"/>
      <x:c r="BQ29" s="12" t="str"/>
    </x:row>
    <x:row r="30">
      <x:c r="A30" s="9" t="str">
        <x:v>segacd-29</x:v>
      </x:c>
      <x:c r="B30" s="9" t="str">
        <x:v>fahrenheit</x:v>
      </x:c>
      <x:c r="C30" s="9" t="str">
        <x:v>Sega CD</x:v>
      </x:c>
      <x:c r="D30" s="9" t="str">
        <x:v>Fahrenheit</x:v>
      </x:c>
      <x:c r="E30" s="9"/>
      <x:c r="F30" s="9" t="str">
        <x:v>Sega Multimedia Studio</x:v>
      </x:c>
      <x:c r="G30" s="9" t="str">
        <x:v>Sega</x:v>
      </x:c>
      <x:c r="H30" s="9" t="n">
        <x:v>1995</x:v>
      </x:c>
      <x:c r="I30" s="9" t="str">
        <x:v>Yes</x:v>
      </x:c>
      <x:c r="J30" s="9" t="str">
        <x:v>No</x:v>
      </x:c>
      <x:c r="K30" s="9" t="str">
        <x:v>No</x:v>
      </x:c>
      <x:c r="L30" s="9" t="str">
        <x:v>Yes</x:v>
      </x:c>
      <x:c r="M30" s="9" t="str">
        <x:v>Firefighting adventure</x:v>
      </x:c>
      <x:c r="N30" s="9" t="str">
        <x:v>Live-action</x:v>
      </x:c>
      <x:c r="O30" s="9" t="n">
        <x:v>10</x:v>
      </x:c>
      <x:c r="P30" s="9" t="str">
        <x:v>Sega FMV</x:v>
      </x:c>
      <x:c r="Q30" s="9" t="str">
        <x:v>Released</x:v>
      </x:c>
      <x:c r="R30" s="9" t="str">
        <x:v>Original</x:v>
      </x:c>
      <x:c r="S30" s="9" t="str">
        <x:v>32X CD (bundled in same box)</x:v>
      </x:c>
      <x:c r="T30" s="9" t="str">
        <x:v>—</x:v>
      </x:c>
      <x:c r="U30" s="9" t="n">
        <x:v>2</x:v>
      </x:c>
      <x:c r="V30" s="9" t="str">
        <x:v>Unknown — verify</x:v>
      </x:c>
      <x:c r="W30" s="9" t="str">
        <x:v>Controller</x:v>
      </x:c>
      <x:c r="X30" s="9" t="str">
        <x:v>Low</x:v>
      </x:c>
      <x:c r="Y30" s="9"/>
      <x:c r="Z30" s="9" t="str">
        <x:v>1 hr</x:v>
      </x:c>
      <x:c r="AA30" s="9" t="str">
        <x:v>Firefighter FMV where the box contains both Sega CD and 32X CD discs, so you can show the same footage on both in one episode.</x:v>
      </x:c>
      <x:c r="AB30" s="9" t="str">
        <x:v>Level select code exists for the Sega CD disc (verify).</x:v>
      </x:c>
      <x:c r="AC30" s="9" t="str">
        <x:v>Full-screen on 32X CD with true colour; Sega CD disc is 64-colour and much grainier — a built-in comparison.</x:v>
      </x:c>
      <x:c r="AD30" s="9" t="str">
        <x:v>Medium — exploration with time pressure.</x:v>
      </x:c>
      <x:c r="AE30" s="9" t="str">
        <x:v>Single ending; several death sequences.</x:v>
      </x:c>
      <x:c r="AF30" s="9" t="str">
        <x:v>Sega's last FMV production; the 32X CD version is considered the definitive one. Sold only as the dual-disc bundle in the US.</x:v>
      </x:c>
      <x:c r="AG30" s="9" t="str">
        <x:v>US dual-disc only. Confirm both discs are present when buying.</x:v>
      </x:c>
      <x:c r="AH30" s="9" t="str">
        <x:v>No</x:v>
      </x:c>
      <x:c r="AI30" s="9" t="str">
        <x:v>Easy</x:v>
      </x:c>
      <x:c r="AJ30" s="9"/>
      <x:c r="AK30" s="9" t="str">
        <x:v>Sold as a 2-disc set containing both the Sega CD and 32X CD versions. First-person firefighter exploration.</x:v>
      </x:c>
      <x:c r="AL30" s="10" t="n">
        <x:v>25</x:v>
      </x:c>
      <x:c r="AM30" s="10" t="n">
        <x:v>40</x:v>
      </x:c>
      <x:c r="AN30" s="10" t="n">
        <x:v>84.99</x:v>
      </x:c>
      <x:c r="AO30" s="9" t="str">
        <x:v>2026-10-20</x:v>
      </x:c>
      <x:c r="AP30" s="11" t="str">
        <x:f>HYPERLINK("https://www.pricecharting.com/search-products?q=Fahrenheit+sega+cd&amp;type=prices","PriceCharting")</x:f>
        <x:v>PriceCharting</x:v>
      </x:c>
      <x:c r="AQ30" s="9"/>
      <x:c r="AR30" s="9"/>
      <x:c r="AS30" s="9"/>
      <x:c r="AT30" s="9"/>
      <x:c r="AU30" s="9"/>
      <x:c r="AV30" s="9"/>
      <x:c r="AW30" s="9" t="str">
        <x:v>8/10</x:v>
      </x:c>
      <x:c r="AX30" s="9" t="str">
        <x:f>HYPERLINK("https://www.sega-16.com/2008/09/fahrenheit-2/","Sega-16")</x:f>
        <x:v>Sega-16</x:v>
      </x:c>
      <x:c r="AY30" s="9"/>
      <x:c r="AZ30" s="9"/>
      <x:c r="BA30" s="11" t="str">
        <x:f>HYPERLINK("https://www.mobygames.com/game/sega-cd/fahrenheit/","MobyGames")</x:f>
        <x:v>MobyGames</x:v>
      </x:c>
      <x:c r="BB30" s="9"/>
      <x:c r="BC30" s="9"/>
      <x:c r="BD30" s="9"/>
      <x:c r="BE30" s="11" t="str">
        <x:f>HYPERLINK("https://en.wikipedia.org/wiki/Fahrenheit_(1995_video_game)","Wikipedia")</x:f>
        <x:v>Wikipedia</x:v>
      </x:c>
      <x:c r="BF30" s="11" t="str">
        <x:f>HYPERLINK("https://backloggd.com/search/games/Fahrenheit/","Backloggd")</x:f>
        <x:v>Backloggd</x:v>
      </x:c>
      <x:c r="BG30" s="11" t="str">
        <x:f>HYPERLINK("https://segaretro.org/index.php?search=Fahrenheit","Sega Retro")</x:f>
        <x:v>Sega Retro</x:v>
      </x:c>
      <x:c r="BH30" s="9"/>
      <x:c r="BI30" s="12" t="str">
        <x:v>No</x:v>
      </x:c>
      <x:c r="BJ30" s="12" t="str"/>
      <x:c r="BK30" s="12" t="str">
        <x:v>No</x:v>
      </x:c>
      <x:c r="BL30" s="12" t="str"/>
      <x:c r="BM30" s="12" t="str"/>
      <x:c r="BN30" s="12" t="str"/>
      <x:c r="BO30" s="12" t="str"/>
      <x:c r="BP30" s="12" t="str"/>
      <x:c r="BQ30" s="12" t="str"/>
    </x:row>
    <x:row r="31">
      <x:c r="A31" s="9" t="str">
        <x:v>segacd-30</x:v>
      </x:c>
      <x:c r="B31" s="9" t="str">
        <x:v>mighty-morphin-power-rangers</x:v>
      </x:c>
      <x:c r="C31" s="9" t="str">
        <x:v>Sega CD</x:v>
      </x:c>
      <x:c r="D31" s="9" t="str">
        <x:v>Mighty Morphin Power Rangers</x:v>
      </x:c>
      <x:c r="E31" s="9"/>
      <x:c r="F31" s="9" t="str">
        <x:v>Sega</x:v>
      </x:c>
      <x:c r="G31" s="9" t="str">
        <x:v>Sega</x:v>
      </x:c>
      <x:c r="H31" s="9" t="n">
        <x:v>1994</x:v>
      </x:c>
      <x:c r="I31" s="9" t="str">
        <x:v>Yes</x:v>
      </x:c>
      <x:c r="J31" s="9" t="str">
        <x:v>No</x:v>
      </x:c>
      <x:c r="K31" s="9" t="str">
        <x:v>Yes</x:v>
      </x:c>
      <x:c r="L31" s="9" t="str">
        <x:v>No</x:v>
      </x:c>
      <x:c r="M31" s="9" t="str">
        <x:v>Fighting / QTE</x:v>
      </x:c>
      <x:c r="N31" s="9" t="str">
        <x:v>Live-action</x:v>
      </x:c>
      <x:c r="O31" s="9" t="n">
        <x:v>8</x:v>
      </x:c>
      <x:c r="P31" s="9" t="str">
        <x:v>Sega FMV</x:v>
      </x:c>
      <x:c r="Q31" s="9" t="str">
        <x:v>Released</x:v>
      </x:c>
      <x:c r="R31" s="9" t="str">
        <x:v>TV series (Saban)</x:v>
      </x:c>
      <x:c r="S31" s="9" t="str">
        <x:v>Sega CD only (Genesis/SNES games are different)</x:v>
      </x:c>
      <x:c r="T31" s="9" t="str">
        <x:v>Original MMPR TV cast</x:v>
      </x:c>
      <x:c r="U31" s="9" t="n">
        <x:v>1</x:v>
      </x:c>
      <x:c r="V31" s="9" t="str">
        <x:v>No</x:v>
      </x:c>
      <x:c r="W31" s="9" t="str">
        <x:v>Controller</x:v>
      </x:c>
      <x:c r="X31" s="9" t="str">
        <x:v>Med</x:v>
      </x:c>
      <x:c r="Y31" s="9" t="str">
        <x:v>TV series footage &amp; theme</x:v>
      </x:c>
      <x:c r="Z31" s="9" t="str">
        <x:v>45 min</x:v>
      </x:c>
      <x:c r="AA31" s="9" t="str">
        <x:v>Power Rangers as a QTE fighting game built from actual Season 1 episodes — different from every other MMPR game of the era.</x:v>
      </x:c>
      <x:c r="AB31" s="9" t="str">
        <x:v>Level skip: at the Difficulty/Start screen press B, A, C, C, A, B, A (a tone confirms); press Start during play to skip the level. Hidden video: at the title press A, B, B, A, C, A, B, B. (FMV World)</x:v>
      </x:c>
      <x:c r="AC31" s="9" t="str">
        <x:v>Full-screen TV footage, ~10 fps; colours suffer badly from the 64-colour limit.</x:v>
      </x:c>
      <x:c r="AD31" s="9" t="str">
        <x:v>Easy-medium — timed prompts.</x:v>
      </x:c>
      <x:c r="AE31" s="9" t="str">
        <x:v>Single ending.</x:v>
      </x:c>
      <x:c r="AF31" s="9" t="str">
        <x:v>Built on the same engine Sega reused for Kamen Rider ZO in Japan. Uses episodes including the Green Ranger arc.</x:v>
      </x:c>
      <x:c r="AG31" s="9" t="str">
        <x:v>US, PAL.</x:v>
      </x:c>
      <x:c r="AH31" s="9" t="str">
        <x:v>No</x:v>
      </x:c>
      <x:c r="AI31" s="9" t="str">
        <x:v>Easy</x:v>
      </x:c>
      <x:c r="AJ31" s="9"/>
      <x:c r="AK31" s="9" t="str">
        <x:v>Uses actual TV show footage; fights are timed button presses over video. Some sprite-based elements.</x:v>
      </x:c>
      <x:c r="AL31" s="10" t="n">
        <x:v>15.63</x:v>
      </x:c>
      <x:c r="AM31" s="10" t="n">
        <x:v>24.84</x:v>
      </x:c>
      <x:c r="AN31" s="10" t="n">
        <x:v>51.47</x:v>
      </x:c>
      <x:c r="AO31" s="9" t="str">
        <x:v>2026-10-20</x:v>
      </x:c>
      <x:c r="AP31" s="11" t="str">
        <x:f>HYPERLINK("https://www.pricecharting.com/search-products?q=Mighty+Morphin+Power+Rangers+sega+cd&amp;type=prices","PriceCharting")</x:f>
        <x:v>PriceCharting</x:v>
      </x:c>
      <x:c r="AQ31" s="9"/>
      <x:c r="AR31" s="9"/>
      <x:c r="AS31" s="9"/>
      <x:c r="AT31" s="9"/>
      <x:c r="AU31" s="9"/>
      <x:c r="AV31" s="9"/>
      <x:c r="AW31" s="9" t="str">
        <x:v>4/10</x:v>
      </x:c>
      <x:c r="AX31" s="9" t="str">
        <x:f>HYPERLINK("https://sega-16.com/?p=2249","Sega-16")</x:f>
        <x:v>Sega-16</x:v>
      </x:c>
      <x:c r="AY31" s="9" t="str">
        <x:v>50%</x:v>
      </x:c>
      <x:c r="AZ31" s="9" t="str">
        <x:v>1.1</x:v>
      </x:c>
      <x:c r="BA31" s="11" t="str">
        <x:f>HYPERLINK("https://www.mobygames.com/game/39264/mighty-morphin-power-rangers/","MobyGames")</x:f>
        <x:v>MobyGames</x:v>
      </x:c>
      <x:c r="BB31" s="9"/>
      <x:c r="BC31" s="9"/>
      <x:c r="BD31" s="9"/>
      <x:c r="BE31" s="11" t="str">
        <x:f>HYPERLINK("https://en.wikipedia.org/wiki/Mighty_Morphin_Power_Rangers_(video_game)","Wikipedia")</x:f>
        <x:v>Wikipedia</x:v>
      </x:c>
      <x:c r="BF31" s="11" t="str">
        <x:f>HYPERLINK("https://backloggd.com/search/games/Mighty%20Morphin%20Power%20Rangers/","Backloggd")</x:f>
        <x:v>Backloggd</x:v>
      </x:c>
      <x:c r="BG31" s="11" t="str">
        <x:f>HYPERLINK("https://segaretro.org/index.php?search=Mighty+Morphin+Power+Rangers","Sega Retro")</x:f>
        <x:v>Sega Retro</x:v>
      </x:c>
      <x:c r="BH31" s="9"/>
      <x:c r="BI31" s="12" t="str">
        <x:v>No</x:v>
      </x:c>
      <x:c r="BJ31" s="12" t="str"/>
      <x:c r="BK31" s="12" t="str">
        <x:v>No</x:v>
      </x:c>
      <x:c r="BL31" s="12" t="str"/>
      <x:c r="BM31" s="12" t="str"/>
      <x:c r="BN31" s="12" t="str"/>
      <x:c r="BO31" s="12" t="str"/>
      <x:c r="BP31" s="12" t="str"/>
      <x:c r="BQ31" s="12" t="str"/>
    </x:row>
    <x:row r="32">
      <x:c r="A32" s="9" t="str">
        <x:v>segacd-31</x:v>
      </x:c>
      <x:c r="B32" s="9" t="str">
        <x:v>the-masked-rider-kamen-rider-zo</x:v>
      </x:c>
      <x:c r="C32" s="9" t="str">
        <x:v>Sega CD</x:v>
      </x:c>
      <x:c r="D32" s="9" t="str">
        <x:v>The Masked Rider: Kamen Rider ZO</x:v>
      </x:c>
      <x:c r="E32" s="9" t="str">
        <x:v>Kamen Rider ZO (JP)</x:v>
      </x:c>
      <x:c r="F32" s="9" t="str">
        <x:v>Sega</x:v>
      </x:c>
      <x:c r="G32" s="9" t="str">
        <x:v>Toei Video</x:v>
      </x:c>
      <x:c r="H32" s="9" t="n">
        <x:v>1994</x:v>
      </x:c>
      <x:c r="I32" s="9" t="str">
        <x:v>No</x:v>
      </x:c>
      <x:c r="J32" s="9" t="str">
        <x:v>Yes</x:v>
      </x:c>
      <x:c r="K32" s="9" t="str">
        <x:v>No</x:v>
      </x:c>
      <x:c r="L32" s="9" t="str">
        <x:v>No</x:v>
      </x:c>
      <x:c r="M32" s="9" t="str">
        <x:v>Fighting / QTE</x:v>
      </x:c>
      <x:c r="N32" s="9" t="str">
        <x:v>Live-action</x:v>
      </x:c>
      <x:c r="O32" s="9" t="n">
        <x:v>10</x:v>
      </x:c>
      <x:c r="P32" s="9" t="str">
        <x:v>Sega FMV</x:v>
      </x:c>
      <x:c r="Q32" s="9" t="str">
        <x:v>Released</x:v>
      </x:c>
      <x:c r="R32" s="9" t="str">
        <x:v>1993 film 'Kamen Rider ZO' (Toei)</x:v>
      </x:c>
      <x:c r="S32" s="9" t="str">
        <x:v>Mega CD only</x:v>
      </x:c>
      <x:c r="T32" s="9" t="str">
        <x:v>Kou Domon</x:v>
      </x:c>
      <x:c r="U32" s="9" t="n">
        <x:v>1</x:v>
      </x:c>
      <x:c r="V32" s="9" t="str">
        <x:v>No</x:v>
      </x:c>
      <x:c r="W32" s="9" t="str">
        <x:v>Controller</x:v>
      </x:c>
      <x:c r="X32" s="9" t="str">
        <x:v>Med</x:v>
      </x:c>
      <x:c r="Y32" s="9" t="str">
        <x:v>Film footage</x:v>
      </x:c>
      <x:c r="Z32" s="9" t="str">
        <x:v>30 min</x:v>
      </x:c>
      <x:c r="AA32" s="9" t="str">
        <x:v>The 1993 Kamen Rider ZO movie chopped into a Sega CD fighting game, which Sega then rebuilt as Power Rangers for the US.</x:v>
      </x:c>
      <x:c r="AB32" s="9" t="str">
        <x:v>Difficulty settings only (verify).</x:v>
      </x:c>
      <x:c r="AC32" s="9" t="str">
        <x:v>Full-screen film footage, ~10 fps.</x:v>
      </x:c>
      <x:c r="AD32" s="9" t="str">
        <x:v>Easy-medium.</x:v>
      </x:c>
      <x:c r="AE32" s="9" t="str">
        <x:v>Single ending.</x:v>
      </x:c>
      <x:c r="AF32" s="9" t="str">
        <x:v>Toei Video published; the engine was later used for the US Power Rangers game. The film is 48 minutes long, so the game covers most of it.</x:v>
      </x:c>
      <x:c r="AG32" s="9" t="str">
        <x:v>JP only. PriceCharting lists it as 'Masked Rider' under US Sega CD.</x:v>
      </x:c>
      <x:c r="AH32" s="9" t="str">
        <x:v>No</x:v>
      </x:c>
      <x:c r="AI32" s="9" t="str">
        <x:v>Import</x:v>
      </x:c>
      <x:c r="AJ32" s="9"/>
      <x:c r="AK32" s="9" t="str">
        <x:v>Japan only. Built on the Power Rangers engine using the 1993 Kamen Rider ZO film footage.</x:v>
      </x:c>
      <x:c r="AL32" s="10" t="n">
        <x:v>19.5</x:v>
      </x:c>
      <x:c r="AM32" s="10" t="n">
        <x:v>29.17</x:v>
      </x:c>
      <x:c r="AN32" s="10" t="n">
        <x:v>105.56</x:v>
      </x:c>
      <x:c r="AO32" s="9" t="str">
        <x:v>2026-10-20</x:v>
      </x:c>
      <x:c r="AP32" s="11" t="str">
        <x:f>HYPERLINK("https://www.pricecharting.com/search-products?q=The+Masked+Rider%3A+Kamen+Rider+ZO+sega+cd&amp;type=prices","PriceCharting")</x:f>
        <x:v>PriceCharting</x:v>
      </x:c>
      <x:c r="AQ32" s="9"/>
      <x:c r="AR32" s="9"/>
      <x:c r="AS32" s="9"/>
      <x:c r="AT32" s="9"/>
      <x:c r="AU32" s="9"/>
      <x:c r="AV32" s="9"/>
      <x:c r="AW32" s="9" t="str">
        <x:v>6/10</x:v>
      </x:c>
      <x:c r="AX32" s="9" t="str">
        <x:f>HYPERLINK("https://www.sega-16.com/2010/11/masked-rider-kamen-rider-zo/","Sega-16")</x:f>
        <x:v>Sega-16</x:v>
      </x:c>
      <x:c r="AY32" s="9" t="str">
        <x:v>59%</x:v>
      </x:c>
      <x:c r="AZ32" s="9"/>
      <x:c r="BA32" s="11" t="str">
        <x:f>HYPERLINK("https://www.mobygames.com/game/sega-cd/masked-rider-kamen-rider-zo","MobyGames")</x:f>
        <x:v>MobyGames</x:v>
      </x:c>
      <x:c r="BB32" s="9"/>
      <x:c r="BC32" s="9"/>
      <x:c r="BD32" s="9"/>
      <x:c r="BE32" s="11" t="str">
        <x:f>HYPERLINK("https://en.wikipedia.org/wiki/The_Masked_Rider:_Kamen_Rider_ZO","Wikipedia")</x:f>
        <x:v>Wikipedia</x:v>
      </x:c>
      <x:c r="BF32" s="11" t="str">
        <x:f>HYPERLINK("https://backloggd.com/search/games/The%20Masked%20Rider%3A%20Kamen%20Rider%20ZO/","Backloggd")</x:f>
        <x:v>Backloggd</x:v>
      </x:c>
      <x:c r="BG32" s="11" t="str">
        <x:f>HYPERLINK("https://segaretro.org/index.php?search=The+Masked+Rider%3A+Kamen+Rider+ZO","Sega Retro")</x:f>
        <x:v>Sega Retro</x:v>
      </x:c>
      <x:c r="BH32" s="9"/>
      <x:c r="BI32" s="12" t="str">
        <x:v>No</x:v>
      </x:c>
      <x:c r="BJ32" s="12" t="str"/>
      <x:c r="BK32" s="12" t="str">
        <x:v>No</x:v>
      </x:c>
      <x:c r="BL32" s="12" t="str"/>
      <x:c r="BM32" s="12" t="str"/>
      <x:c r="BN32" s="12" t="str"/>
      <x:c r="BO32" s="12" t="str"/>
      <x:c r="BP32" s="12" t="str"/>
      <x:c r="BQ32" s="12" t="str"/>
    </x:row>
    <x:row r="33">
      <x:c r="A33" s="9" t="str">
        <x:v>segacd-32</x:v>
      </x:c>
      <x:c r="B33" s="9" t="str">
        <x:v>road-rash</x:v>
      </x:c>
      <x:c r="C33" s="9" t="str">
        <x:v>Sega CD</x:v>
      </x:c>
      <x:c r="D33" s="9" t="str">
        <x:v>Road Rash</x:v>
      </x:c>
      <x:c r="E33" s="9"/>
      <x:c r="F33" s="9" t="str">
        <x:v>Monkey Do Productions / EA</x:v>
      </x:c>
      <x:c r="G33" s="9" t="str">
        <x:v>Electronic Arts</x:v>
      </x:c>
      <x:c r="H33" s="9" t="n">
        <x:v>1995</x:v>
      </x:c>
      <x:c r="I33" s="9" t="str">
        <x:v>Yes</x:v>
      </x:c>
      <x:c r="J33" s="9" t="str">
        <x:v>Yes</x:v>
      </x:c>
      <x:c r="K33" s="9" t="str">
        <x:v>Yes</x:v>
      </x:c>
      <x:c r="L33" s="9" t="str">
        <x:v>No</x:v>
      </x:c>
      <x:c r="M33" s="9" t="str">
        <x:v>Motorcycle racing</x:v>
      </x:c>
      <x:c r="N33" s="9" t="str">
        <x:v>Live-action</x:v>
      </x:c>
      <x:c r="O33" s="9" t="n">
        <x:v>2</x:v>
      </x:c>
      <x:c r="P33" s="9" t="str">
        <x:v>Cutscenes only</x:v>
      </x:c>
      <x:c r="Q33" s="9" t="str">
        <x:v>Released</x:v>
      </x:c>
      <x:c r="R33" s="9" t="str">
        <x:v>Original (EA)</x:v>
      </x:c>
      <x:c r="S33" s="9" t="str">
        <x:v>3DO, Saturn, PS1, PC</x:v>
      </x:c>
      <x:c r="T33" s="9" t="str">
        <x:v>—</x:v>
      </x:c>
      <x:c r="U33" s="9" t="n">
        <x:v>1</x:v>
      </x:c>
      <x:c r="V33" s="9" t="str">
        <x:v>Yes</x:v>
      </x:c>
      <x:c r="W33" s="9" t="str">
        <x:v>Controller</x:v>
      </x:c>
      <x:c r="X33" s="9" t="str">
        <x:v>HIGH</x:v>
      </x:c>
      <x:c r="Y33" s="9" t="str">
        <x:v>Licensed soundtrack (Soundgarden, Monster Magnet, Paw, Swervedriver, Therapy?, Hammerbox)</x:v>
      </x:c>
      <x:c r="Z33" s="9" t="str">
        <x:v>3–5 hr</x:v>
      </x:c>
      <x:c r="AA33" s="9" t="str">
        <x:v>The best Road Rash with the grunge soundtrack and live-action cop-arrest cutscenes — the FMV is garnish, but it's good garnish.</x:v>
      </x:c>
      <x:c r="AB33" s="9" t="str">
        <x:v>Password system; cheat passwords for cash and bikes exist (verify).</x:v>
      </x:c>
      <x:c r="AC33" s="9" t="str">
        <x:v>Cutscenes are full-screen, ~15 fps; gameplay is standard sprites.</x:v>
      </x:c>
      <x:c r="AD33" s="9" t="str">
        <x:v>Medium — standard Road Rash progression.</x:v>
      </x:c>
      <x:c r="AE33" s="9" t="str">
        <x:v>Single ending after level 5.</x:v>
      </x:c>
      <x:c r="AF33" s="9" t="str">
        <x:v>Shares its FMV and soundtrack with the 3DO/Saturn/PS1 versions. Soundtrack: Soundgarden, Paw, Hammerbox, Monster Magnet, Swervedriver, Therapy?.</x:v>
      </x:c>
      <x:c r="AG33" s="9" t="str">
        <x:v>US, PAL, JP.</x:v>
      </x:c>
      <x:c r="AH33" s="9" t="str">
        <x:v>No</x:v>
      </x:c>
      <x:c r="AI33" s="9" t="str">
        <x:v>Easy</x:v>
      </x:c>
      <x:c r="AJ33" s="9"/>
      <x:c r="AK33" s="9" t="str">
        <x:v>Standard Road Rash with live-action FMV cutscenes between races. Gameplay is not FMV.</x:v>
      </x:c>
      <x:c r="AL33" s="10" t="n">
        <x:v>43.98</x:v>
      </x:c>
      <x:c r="AM33" s="10" t="n">
        <x:v>86.14</x:v>
      </x:c>
      <x:c r="AN33" s="10" t="n">
        <x:v>99.9</x:v>
      </x:c>
      <x:c r="AO33" s="9" t="str">
        <x:v>2026-10-20</x:v>
      </x:c>
      <x:c r="AP33" s="11" t="str">
        <x:f>HYPERLINK("https://www.pricecharting.com/search-products?q=Road+Rash+sega+cd&amp;type=prices","PriceCharting")</x:f>
        <x:v>PriceCharting</x:v>
      </x:c>
      <x:c r="AQ33" s="9"/>
      <x:c r="AR33" s="9"/>
      <x:c r="AS33" s="9"/>
      <x:c r="AT33" s="9"/>
      <x:c r="AU33" s="9"/>
      <x:c r="AV33" s="9"/>
      <x:c r="AW33" s="9" t="str">
        <x:v>9/10</x:v>
      </x:c>
      <x:c r="AX33" s="9" t="str">
        <x:f>HYPERLINK("https://www.sega-16.com/?p=2525","Sega-16")</x:f>
        <x:v>Sega-16</x:v>
      </x:c>
      <x:c r="AY33" s="9" t="str">
        <x:v>78%</x:v>
      </x:c>
      <x:c r="AZ33" s="9" t="str">
        <x:v>3.7</x:v>
      </x:c>
      <x:c r="BA33" s="11" t="str">
        <x:f>HYPERLINK("https://www.mobygames.com/game/50559/road-rash/","MobyGames")</x:f>
        <x:v>MobyGames</x:v>
      </x:c>
      <x:c r="BB33" s="9"/>
      <x:c r="BC33" s="9"/>
      <x:c r="BD33" s="9"/>
      <x:c r="BE33" s="11" t="str">
        <x:f>HYPERLINK("https://en.wikipedia.org/wiki/Road_Rash_(1994_video_game)","Wikipedia")</x:f>
        <x:v>Wikipedia</x:v>
      </x:c>
      <x:c r="BF33" s="11" t="str">
        <x:f>HYPERLINK("https://backloggd.com/search/games/Road%20Rash/","Backloggd")</x:f>
        <x:v>Backloggd</x:v>
      </x:c>
      <x:c r="BG33" s="11" t="str">
        <x:f>HYPERLINK("https://segaretro.org/index.php?search=Road+Rash","Sega Retro")</x:f>
        <x:v>Sega Retro</x:v>
      </x:c>
      <x:c r="BH33" s="9"/>
      <x:c r="BI33" s="12" t="str">
        <x:v>No</x:v>
      </x:c>
      <x:c r="BJ33" s="12" t="str"/>
      <x:c r="BK33" s="12" t="str">
        <x:v>No</x:v>
      </x:c>
      <x:c r="BL33" s="12" t="str"/>
      <x:c r="BM33" s="12" t="str"/>
      <x:c r="BN33" s="12" t="str"/>
      <x:c r="BO33" s="12" t="str"/>
      <x:c r="BP33" s="12" t="str"/>
      <x:c r="BQ33" s="12" t="str"/>
    </x:row>
    <x:row r="34">
      <x:c r="A34" s="9" t="str">
        <x:v>segacd-33</x:v>
      </x:c>
      <x:c r="B34" s="9" t="str">
        <x:v>loadstar-the-legend-of-tully-bodine</x:v>
      </x:c>
      <x:c r="C34" s="9" t="str">
        <x:v>Sega CD</x:v>
      </x:c>
      <x:c r="D34" s="9" t="str">
        <x:v>Loadstar: The Legend of Tully Bodine</x:v>
      </x:c>
      <x:c r="E34" s="9"/>
      <x:c r="F34" s="9" t="str">
        <x:v>Rocket Science Games</x:v>
      </x:c>
      <x:c r="G34" s="9" t="str">
        <x:v>Rocket Science Games</x:v>
      </x:c>
      <x:c r="H34" s="9" t="n">
        <x:v>1995</x:v>
      </x:c>
      <x:c r="I34" s="9" t="str">
        <x:v>Yes</x:v>
      </x:c>
      <x:c r="J34" s="9" t="str">
        <x:v>No</x:v>
      </x:c>
      <x:c r="K34" s="9" t="str">
        <x:v>No</x:v>
      </x:c>
      <x:c r="L34" s="9" t="str">
        <x:v>No</x:v>
      </x:c>
      <x:c r="M34" s="9" t="str">
        <x:v>Rail shooter / driving</x:v>
      </x:c>
      <x:c r="N34" s="9" t="str">
        <x:v>Pre-rendered CG + live actors</x:v>
      </x:c>
      <x:c r="O34" s="9" t="n">
        <x:v>9</x:v>
      </x:c>
      <x:c r="P34" s="9" t="str">
        <x:v>Pre-rendered CG</x:v>
      </x:c>
      <x:c r="Q34" s="9" t="str">
        <x:v>Released</x:v>
      </x:c>
      <x:c r="R34" s="9" t="str">
        <x:v>Original</x:v>
      </x:c>
      <x:c r="S34" s="9" t="str">
        <x:v>PC, Mac</x:v>
      </x:c>
      <x:c r="T34" s="9" t="str">
        <x:v>Ned Beatty, Barry Primus</x:v>
      </x:c>
      <x:c r="U34" s="9" t="n">
        <x:v>1</x:v>
      </x:c>
      <x:c r="V34" s="9" t="str">
        <x:v>No</x:v>
      </x:c>
      <x:c r="W34" s="9" t="str">
        <x:v>Controller</x:v>
      </x:c>
      <x:c r="X34" s="9" t="str">
        <x:v>Low</x:v>
      </x:c>
      <x:c r="Y34" s="9"/>
      <x:c r="Z34" s="9" t="str">
        <x:v>1–2 hr</x:v>
      </x:c>
      <x:c r="AA34" s="9" t="str">
        <x:v>Ned Beatty in a sci-fi truck movie from Rocket Science Games, the $100M startup that produced three games and vanished.</x:v>
      </x:c>
      <x:c r="AB34" s="9" t="str">
        <x:v>No level select listed. Hidden Mort-Pong minigame: when Mort appears, pause and press C, A, Left, Left, A, C, A, Left, Left, A. (GameFAQs)</x:v>
      </x:c>
      <x:c r="AC34" s="9" t="str">
        <x:v>Full-screen pre-rendered CG with composited actors, ~15 fps.</x:v>
      </x:c>
      <x:c r="AD34" s="9" t="str">
        <x:v>Hard — lots of trial-and-error truck steering.</x:v>
      </x:c>
      <x:c r="AE34" s="9" t="str">
        <x:v>Single ending.</x:v>
      </x:c>
      <x:c r="AF34" s="9" t="str">
        <x:v>Rocket Science Games raised enormous VC money in 1993-95 and collapsed by 1997; Loadstar and Cadillacs &amp; Dinosaurs were its Sega CD output.</x:v>
      </x:c>
      <x:c r="AG34" s="9" t="str">
        <x:v>US only.</x:v>
      </x:c>
      <x:c r="AH34" s="9" t="str">
        <x:v>No</x:v>
      </x:c>
      <x:c r="AI34" s="9" t="str">
        <x:v>Easy</x:v>
      </x:c>
      <x:c r="AJ34" s="9"/>
      <x:c r="AK34" s="9" t="str">
        <x:v>CG truck-driving shooter with live-action actors composited in. Ned Beatty and Barry Primus star.</x:v>
      </x:c>
      <x:c r="AL34" s="10" t="n">
        <x:v>13.65</x:v>
      </x:c>
      <x:c r="AM34" s="10" t="n">
        <x:v>22.19</x:v>
      </x:c>
      <x:c r="AN34" s="10" t="n">
        <x:v>45.88</x:v>
      </x:c>
      <x:c r="AO34" s="9" t="str">
        <x:v>2026-10-20</x:v>
      </x:c>
      <x:c r="AP34" s="11" t="str">
        <x:f>HYPERLINK("https://www.pricecharting.com/search-products?q=Loadstar%3A+The+Legend+of+Tully+Bodine+sega+cd&amp;type=prices","PriceCharting")</x:f>
        <x:v>PriceCharting</x:v>
      </x:c>
      <x:c r="AQ34" s="9"/>
      <x:c r="AR34" s="9"/>
      <x:c r="AS34" s="9"/>
      <x:c r="AT34" s="9"/>
      <x:c r="AU34" s="9"/>
      <x:c r="AV34" s="9"/>
      <x:c r="AW34" s="9" t="str">
        <x:v>3/10</x:v>
      </x:c>
      <x:c r="AX34" s="9" t="str">
        <x:f>HYPERLINK("https://www.sega-16.com/2011/04/loadstar-the-legend-of-tully-bodine/","Sega-16")</x:f>
        <x:v>Sega-16</x:v>
      </x:c>
      <x:c r="AY34" s="9" t="str">
        <x:v>53%</x:v>
      </x:c>
      <x:c r="AZ34" s="9" t="str">
        <x:v>2.0</x:v>
      </x:c>
      <x:c r="BA34" s="11" t="str">
        <x:f>HYPERLINK("https://www.mobygames.com/game/sega-cd/loadstar-the-legend-of-tully-bodine","MobyGames")</x:f>
        <x:v>MobyGames</x:v>
      </x:c>
      <x:c r="BB34" s="9"/>
      <x:c r="BC34" s="9"/>
      <x:c r="BD34" s="9"/>
      <x:c r="BE34" s="11" t="str">
        <x:f>HYPERLINK("https://en.wikipedia.org/wiki/Loadstar:_The_Legend_of_Tully_Bodine","Wikipedia")</x:f>
        <x:v>Wikipedia</x:v>
      </x:c>
      <x:c r="BF34" s="11" t="str">
        <x:f>HYPERLINK("https://backloggd.com/search/games/Loadstar%3A%20The%20Legend%20of%20Tully%20Bodine/","Backloggd")</x:f>
        <x:v>Backloggd</x:v>
      </x:c>
      <x:c r="BG34" s="11" t="str">
        <x:f>HYPERLINK("https://segaretro.org/index.php?search=Loadstar%3A+The+Legend+of+Tully+Bodine","Sega Retro")</x:f>
        <x:v>Sega Retro</x:v>
      </x:c>
      <x:c r="BH34" s="9"/>
      <x:c r="BI34" s="12" t="str">
        <x:v>No</x:v>
      </x:c>
      <x:c r="BJ34" s="12" t="str"/>
      <x:c r="BK34" s="12" t="str">
        <x:v>No</x:v>
      </x:c>
      <x:c r="BL34" s="12" t="str"/>
      <x:c r="BM34" s="12" t="str"/>
      <x:c r="BN34" s="12" t="str"/>
      <x:c r="BO34" s="12" t="str"/>
      <x:c r="BP34" s="12" t="str"/>
      <x:c r="BQ34" s="12" t="str"/>
    </x:row>
    <x:row r="35">
      <x:c r="A35" s="9" t="str">
        <x:v>segacd-34</x:v>
      </x:c>
      <x:c r="B35" s="9" t="str">
        <x:v>novastorm</x:v>
      </x:c>
      <x:c r="C35" s="9" t="str">
        <x:v>Sega CD</x:v>
      </x:c>
      <x:c r="D35" s="9" t="str">
        <x:v>Novastorm</x:v>
      </x:c>
      <x:c r="E35" s="9"/>
      <x:c r="F35" s="9" t="str">
        <x:v>Psygnosis</x:v>
      </x:c>
      <x:c r="G35" s="9" t="str">
        <x:v>Sega (NA), Psygnosis (EU)</x:v>
      </x:c>
      <x:c r="H35" s="9" t="n">
        <x:v>1994</x:v>
      </x:c>
      <x:c r="I35" s="9" t="str">
        <x:v>Yes</x:v>
      </x:c>
      <x:c r="J35" s="9" t="str">
        <x:v>No</x:v>
      </x:c>
      <x:c r="K35" s="9" t="str">
        <x:v>Yes</x:v>
      </x:c>
      <x:c r="L35" s="9" t="str">
        <x:v>No</x:v>
      </x:c>
      <x:c r="M35" s="9" t="str">
        <x:v>Rail shooter</x:v>
      </x:c>
      <x:c r="N35" s="9" t="str">
        <x:v>Pre-rendered CG</x:v>
      </x:c>
      <x:c r="O35" s="9" t="n">
        <x:v>9</x:v>
      </x:c>
      <x:c r="P35" s="9" t="str">
        <x:v>Pre-rendered CG</x:v>
      </x:c>
      <x:c r="Q35" s="9" t="str">
        <x:v>Released</x:v>
      </x:c>
      <x:c r="R35" s="9" t="str">
        <x:v>Original (Psygnosis; 'Scavenger 4' in JP)</x:v>
      </x:c>
      <x:c r="S35" s="9" t="str">
        <x:v>PC, PS1, FM Towns</x:v>
      </x:c>
      <x:c r="T35" s="9" t="str">
        <x:v>—</x:v>
      </x:c>
      <x:c r="U35" s="9" t="n">
        <x:v>1</x:v>
      </x:c>
      <x:c r="V35" s="9" t="str">
        <x:v>No</x:v>
      </x:c>
      <x:c r="W35" s="9" t="str">
        <x:v>Controller</x:v>
      </x:c>
      <x:c r="X35" s="9" t="str">
        <x:v>Low</x:v>
      </x:c>
      <x:c r="Y35" s="9"/>
      <x:c r="Z35" s="9" t="str">
        <x:v>1–2 hr</x:v>
      </x:c>
      <x:c r="AA35" s="9" t="str">
        <x:v>Psygnosis's Rebel Assault-style shooter that's actually hard, with one of the pricier discs on the system.</x:v>
      </x:c>
      <x:c r="AB35" s="9" t="str">
        <x:v>Level select code exists (verify).</x:v>
      </x:c>
      <x:c r="AC35" s="9" t="str">
        <x:v>Full-screen pre-rendered CG, ~15 fps, reduced from the PC original's colour depth.</x:v>
      </x:c>
      <x:c r="AD35" s="9" t="str">
        <x:v>Hard — relentless enemies, limited continues.</x:v>
      </x:c>
      <x:c r="AE35" s="9" t="str">
        <x:v>Single ending.</x:v>
      </x:c>
      <x:c r="AF35" s="9" t="str">
        <x:v>Sega CD version is a substantially different game from PC/PS1 ('Scavenger 4' in Japan). Novastorm's CG was state-of-the-art in 1994.</x:v>
      </x:c>
      <x:c r="AG35" s="9" t="str">
        <x:v>US, PAL.</x:v>
      </x:c>
      <x:c r="AH35" s="9" t="str">
        <x:v>No</x:v>
      </x:c>
      <x:c r="AI35" s="9" t="str">
        <x:v>Easy</x:v>
      </x:c>
      <x:c r="AJ35" s="9"/>
      <x:c r="AK35" s="9" t="str">
        <x:v>Spaceship sprite over streamed CG backgrounds. Sega CD version differs substantially from PC/PS1.</x:v>
      </x:c>
      <x:c r="AL35" s="10" t="n">
        <x:v>69.99</x:v>
      </x:c>
      <x:c r="AM35" s="10" t="n">
        <x:v>139.99</x:v>
      </x:c>
      <x:c r="AN35" s="10" t="n">
        <x:v>252</x:v>
      </x:c>
      <x:c r="AO35" s="9" t="str">
        <x:v>2026-10-20</x:v>
      </x:c>
      <x:c r="AP35" s="11" t="str">
        <x:f>HYPERLINK("https://www.pricecharting.com/search-products?q=Novastorm+sega+cd&amp;type=prices","PriceCharting")</x:f>
        <x:v>PriceCharting</x:v>
      </x:c>
      <x:c r="AQ35" s="9"/>
      <x:c r="AR35" s="9"/>
      <x:c r="AS35" s="9"/>
      <x:c r="AT35" s="9"/>
      <x:c r="AU35" s="9"/>
      <x:c r="AV35" s="9"/>
      <x:c r="AW35" s="9" t="str">
        <x:v>5/10</x:v>
      </x:c>
      <x:c r="AX35" s="9" t="str">
        <x:f>HYPERLINK("https://www.sega-16.com/2011/12/novastorm/","Sega-16")</x:f>
        <x:v>Sega-16</x:v>
      </x:c>
      <x:c r="AY35" s="9" t="str">
        <x:v>67%</x:v>
      </x:c>
      <x:c r="AZ35" s="9" t="str">
        <x:v>3.2</x:v>
      </x:c>
      <x:c r="BA35" s="11" t="str">
        <x:f>HYPERLINK("https://www.mobygames.com/game/271/novastorm/","MobyGames")</x:f>
        <x:v>MobyGames</x:v>
      </x:c>
      <x:c r="BB35" s="9"/>
      <x:c r="BC35" s="9"/>
      <x:c r="BD35" s="9"/>
      <x:c r="BE35" s="11" t="str">
        <x:f>HYPERLINK("https://en.wikipedia.org/wiki/Novastorm","Wikipedia")</x:f>
        <x:v>Wikipedia</x:v>
      </x:c>
      <x:c r="BF35" s="11" t="str">
        <x:f>HYPERLINK("https://backloggd.com/search/games/Novastorm/","Backloggd")</x:f>
        <x:v>Backloggd</x:v>
      </x:c>
      <x:c r="BG35" s="11" t="str">
        <x:f>HYPERLINK("https://segaretro.org/index.php?search=Novastorm","Sega Retro")</x:f>
        <x:v>Sega Retro</x:v>
      </x:c>
      <x:c r="BH35" s="9"/>
      <x:c r="BI35" s="12" t="str">
        <x:v>No</x:v>
      </x:c>
      <x:c r="BJ35" s="12" t="str"/>
      <x:c r="BK35" s="12" t="str">
        <x:v>No</x:v>
      </x:c>
      <x:c r="BL35" s="12" t="str"/>
      <x:c r="BM35" s="12" t="str"/>
      <x:c r="BN35" s="12" t="str"/>
      <x:c r="BO35" s="12" t="str"/>
      <x:c r="BP35" s="12" t="str"/>
      <x:c r="BQ35" s="12" t="str"/>
    </x:row>
    <x:row r="36">
      <x:c r="A36" s="9" t="str">
        <x:v>segacd-35</x:v>
      </x:c>
      <x:c r="B36" s="9" t="str">
        <x:v>microcosm</x:v>
      </x:c>
      <x:c r="C36" s="9" t="str">
        <x:v>Sega CD</x:v>
      </x:c>
      <x:c r="D36" s="9" t="str">
        <x:v>Microcosm</x:v>
      </x:c>
      <x:c r="E36" s="9"/>
      <x:c r="F36" s="9" t="str">
        <x:v>Psygnosis</x:v>
      </x:c>
      <x:c r="G36" s="9" t="str">
        <x:v>Sega (NA), Psygnosis (EU), Victor (JP)</x:v>
      </x:c>
      <x:c r="H36" s="9" t="n">
        <x:v>1993</x:v>
      </x:c>
      <x:c r="I36" s="9" t="str">
        <x:v>Yes</x:v>
      </x:c>
      <x:c r="J36" s="9" t="str">
        <x:v>Yes</x:v>
      </x:c>
      <x:c r="K36" s="9" t="str">
        <x:v>Yes</x:v>
      </x:c>
      <x:c r="L36" s="9" t="str">
        <x:v>No</x:v>
      </x:c>
      <x:c r="M36" s="9" t="str">
        <x:v>Rail shooter</x:v>
      </x:c>
      <x:c r="N36" s="9" t="str">
        <x:v>Pre-rendered CG</x:v>
      </x:c>
      <x:c r="O36" s="9" t="n">
        <x:v>9</x:v>
      </x:c>
      <x:c r="P36" s="9" t="str">
        <x:v>Pre-rendered CG</x:v>
      </x:c>
      <x:c r="Q36" s="9" t="str">
        <x:v>Released</x:v>
      </x:c>
      <x:c r="R36" s="9" t="str">
        <x:v>Original (Psygnosis)</x:v>
      </x:c>
      <x:c r="S36" s="9" t="str">
        <x:v>Amiga CD32, 3DO, PC, FM Towns</x:v>
      </x:c>
      <x:c r="T36" s="9" t="str">
        <x:v>—</x:v>
      </x:c>
      <x:c r="U36" s="9" t="n">
        <x:v>1</x:v>
      </x:c>
      <x:c r="V36" s="9" t="str">
        <x:v>No</x:v>
      </x:c>
      <x:c r="W36" s="9" t="str">
        <x:v>Controller</x:v>
      </x:c>
      <x:c r="X36" s="9" t="str">
        <x:v>Low</x:v>
      </x:c>
      <x:c r="Y36" s="9"/>
      <x:c r="Z36" s="9" t="str">
        <x:v>1–2 hr</x:v>
      </x:c>
      <x:c r="AA36" s="9" t="str">
        <x:v>Fantastic Voyage as a CG rail shooter, in the port that gets sold bundled with Ultraverse Prime for some reason.</x:v>
      </x:c>
      <x:c r="AB36" s="9" t="str">
        <x:v>Level passwords (icons: A ring with 6 spheres, B sphere with 2 rings, C sphere with ring and 4 spheres, D sphere with 4 orbiting spheres, E sphere with 6 spheres): Level 2 B D E A, Level 3 E E D B, Level 4 B A D E. Pressing eject freezes enemies so you can shoot them. (GameFAQs)</x:v>
      </x:c>
      <x:c r="AC36" s="9" t="str">
        <x:v>Full-screen pre-rendered CG, ~12 fps on Sega CD.</x:v>
      </x:c>
      <x:c r="AD36" s="9" t="str">
        <x:v>Hard — the Sega CD port is sluggish.</x:v>
      </x:c>
      <x:c r="AE36" s="9" t="str">
        <x:v>Single ending.</x:v>
      </x:c>
      <x:c r="AF36" s="9" t="str">
        <x:v>Psygnosis's first CD-ROM showcase (Amiga CD32 launch title). The Sega CD port was done by Sega's team.</x:v>
      </x:c>
      <x:c r="AG36" s="9" t="str">
        <x:v>US, PAL, JP; US 'Ultraverse Prime &amp; Microcosm' 2-pack.</x:v>
      </x:c>
      <x:c r="AH36" s="9" t="str">
        <x:v>No</x:v>
      </x:c>
      <x:c r="AI36" s="9" t="str">
        <x:v>Easy</x:v>
      </x:c>
      <x:c r="AJ36" s="9"/>
      <x:c r="AK36" s="9" t="str">
        <x:v>Miniaturised ship inside a human body. EU release 1993, NA/JP 1994.</x:v>
      </x:c>
      <x:c r="AL36" s="10" t="n">
        <x:v>12.74</x:v>
      </x:c>
      <x:c r="AM36" s="10" t="n">
        <x:v>19.99</x:v>
      </x:c>
      <x:c r="AN36" s="10" t="n">
        <x:v>60</x:v>
      </x:c>
      <x:c r="AO36" s="9" t="str">
        <x:v>2026-10-20</x:v>
      </x:c>
      <x:c r="AP36" s="11" t="str">
        <x:f>HYPERLINK("https://www.pricecharting.com/search-products?q=Microcosm+sega+cd&amp;type=prices","PriceCharting")</x:f>
        <x:v>PriceCharting</x:v>
      </x:c>
      <x:c r="AQ36" s="9"/>
      <x:c r="AR36" s="9"/>
      <x:c r="AS36" s="9"/>
      <x:c r="AT36" s="9"/>
      <x:c r="AU36" s="9"/>
      <x:c r="AV36" s="9"/>
      <x:c r="AW36" s="9" t="str">
        <x:v>8/10</x:v>
      </x:c>
      <x:c r="AX36" s="9" t="str">
        <x:f>HYPERLINK("https://www.sega-16.com/2010/10/microcosm/","Sega-16")</x:f>
        <x:v>Sega-16</x:v>
      </x:c>
      <x:c r="AY36" s="9" t="str">
        <x:v>63%</x:v>
      </x:c>
      <x:c r="AZ36" s="9" t="str">
        <x:v>2.4</x:v>
      </x:c>
      <x:c r="BA36" s="11" t="str">
        <x:f>HYPERLINK("https://www.mobygames.com/game/2098/microcosm/","MobyGames")</x:f>
        <x:v>MobyGames</x:v>
      </x:c>
      <x:c r="BB36" s="9"/>
      <x:c r="BC36" s="9"/>
      <x:c r="BD36" s="9"/>
      <x:c r="BE36" s="11" t="str">
        <x:f>HYPERLINK("https://en.wikipedia.org/wiki/Microcosm_(video_game)","Wikipedia")</x:f>
        <x:v>Wikipedia</x:v>
      </x:c>
      <x:c r="BF36" s="11" t="str">
        <x:f>HYPERLINK("https://backloggd.com/search/games/Microcosm/","Backloggd")</x:f>
        <x:v>Backloggd</x:v>
      </x:c>
      <x:c r="BG36" s="11" t="str">
        <x:f>HYPERLINK("https://segaretro.org/index.php?search=Microcosm","Sega Retro")</x:f>
        <x:v>Sega Retro</x:v>
      </x:c>
      <x:c r="BH36" s="9"/>
      <x:c r="BI36" s="12" t="str">
        <x:v>No</x:v>
      </x:c>
      <x:c r="BJ36" s="12" t="str"/>
      <x:c r="BK36" s="12" t="str">
        <x:v>No</x:v>
      </x:c>
      <x:c r="BL36" s="12" t="str"/>
      <x:c r="BM36" s="12" t="str"/>
      <x:c r="BN36" s="12" t="str"/>
      <x:c r="BO36" s="12" t="str"/>
      <x:c r="BP36" s="12" t="str"/>
      <x:c r="BQ36" s="12" t="str"/>
    </x:row>
    <x:row r="37">
      <x:c r="A37" s="9" t="str">
        <x:v>segacd-36</x:v>
      </x:c>
      <x:c r="B37" s="9" t="str">
        <x:v>star-wars-rebel-assault</x:v>
      </x:c>
      <x:c r="C37" s="9" t="str">
        <x:v>Sega CD</x:v>
      </x:c>
      <x:c r="D37" s="9" t="str">
        <x:v>Star Wars: Rebel Assault</x:v>
      </x:c>
      <x:c r="E37" s="9"/>
      <x:c r="F37" s="9" t="str">
        <x:v>LucasArts</x:v>
      </x:c>
      <x:c r="G37" s="9" t="str">
        <x:v>JVC (NA/EU), Victor (JP)</x:v>
      </x:c>
      <x:c r="H37" s="9" t="n">
        <x:v>1993</x:v>
      </x:c>
      <x:c r="I37" s="9" t="str">
        <x:v>Yes</x:v>
      </x:c>
      <x:c r="J37" s="9" t="str">
        <x:v>Yes</x:v>
      </x:c>
      <x:c r="K37" s="9" t="str">
        <x:v>Yes</x:v>
      </x:c>
      <x:c r="L37" s="9" t="str">
        <x:v>No</x:v>
      </x:c>
      <x:c r="M37" s="9" t="str">
        <x:v>Rail shooter</x:v>
      </x:c>
      <x:c r="N37" s="9" t="str">
        <x:v>Pre-rendered CG + film footage</x:v>
      </x:c>
      <x:c r="O37" s="9" t="n">
        <x:v>9</x:v>
      </x:c>
      <x:c r="P37" s="9" t="str">
        <x:v>Pre-rendered CG</x:v>
      </x:c>
      <x:c r="Q37" s="9" t="str">
        <x:v>Released</x:v>
      </x:c>
      <x:c r="R37" s="9" t="str">
        <x:v>1977 film license</x:v>
      </x:c>
      <x:c r="S37" s="9" t="str">
        <x:v>PC, Mac, 3DO</x:v>
      </x:c>
      <x:c r="T37" s="9" t="str">
        <x:v>Film clips</x:v>
      </x:c>
      <x:c r="U37" s="9" t="n">
        <x:v>1</x:v>
      </x:c>
      <x:c r="V37" s="9" t="str">
        <x:v>No (passwords)</x:v>
      </x:c>
      <x:c r="W37" s="9" t="str">
        <x:v>Controller</x:v>
      </x:c>
      <x:c r="X37" s="9" t="str">
        <x:v>Med–High</x:v>
      </x:c>
      <x:c r="Y37" s="9" t="str">
        <x:v>Star Wars film clips &amp; John Williams score</x:v>
      </x:c>
      <x:c r="Z37" s="9" t="str">
        <x:v>1–2 hr</x:v>
      </x:c>
      <x:c r="AA37" s="9" t="str">
        <x:v>The game that sold CD-ROM drives in 1993, in the console port where the Death Star trench is 64 colours.</x:v>
      </x:c>
      <x:c r="AB37" s="9" t="str">
        <x:v>Password system; passwords to skip to any chapter are well documented.</x:v>
      </x:c>
      <x:c r="AC37" s="9" t="str">
        <x:v>Full-screen pre-rendered CG plus film clips, ~15 fps; 64 colours hurt the space scenes.</x:v>
      </x:c>
      <x:c r="AD37" s="9" t="str">
        <x:v>Easy on 'Easy', medium otherwise.</x:v>
      </x:c>
      <x:c r="AE37" s="9" t="str">
        <x:v>Single ending (Death Star run).</x:v>
      </x:c>
      <x:c r="AF37" s="9" t="str">
        <x:v>LucasArts' first CD-only game; the Sega CD port was done in-house. Limited Run reprinted it in 2023 with a premium edition.</x:v>
      </x:c>
      <x:c r="AG37" s="9" t="str">
        <x:v>US (JVC), PAL, JP (Victor); Limited Run reprint and premium edition.</x:v>
      </x:c>
      <x:c r="AH37" s="9" t="str">
        <x:v>Yes (Limited Run reprint; original PC version on GOG)</x:v>
      </x:c>
      <x:c r="AI37" s="9" t="str">
        <x:v>Easy</x:v>
      </x:c>
      <x:c r="AJ37" s="9"/>
      <x:c r="AK37" s="9" t="str">
        <x:v>Streamed CG with sprite overlay plus clips from the films. Very common.</x:v>
      </x:c>
      <x:c r="AL37" s="10" t="n">
        <x:v>14.76</x:v>
      </x:c>
      <x:c r="AM37" s="10" t="n">
        <x:v>25</x:v>
      </x:c>
      <x:c r="AN37" s="10" t="n">
        <x:v>35</x:v>
      </x:c>
      <x:c r="AO37" s="9" t="str">
        <x:v>2026-10-20</x:v>
      </x:c>
      <x:c r="AP37" s="11" t="str">
        <x:f>HYPERLINK("https://www.pricecharting.com/search-products?q=Star+Wars%3A+Rebel+Assault+sega+cd&amp;type=prices","PriceCharting")</x:f>
        <x:v>PriceCharting</x:v>
      </x:c>
      <x:c r="AQ37" s="9"/>
      <x:c r="AR37" s="9"/>
      <x:c r="AS37" s="9"/>
      <x:c r="AT37" s="9"/>
      <x:c r="AU37" s="9"/>
      <x:c r="AV37" s="9"/>
      <x:c r="AW37" s="9" t="str">
        <x:v>4/10</x:v>
      </x:c>
      <x:c r="AX37" s="9" t="str">
        <x:f>HYPERLINK("https://www.sega-16.com/2007/09/star-wars-rebel-assault/","Sega-16")</x:f>
        <x:v>Sega-16</x:v>
      </x:c>
      <x:c r="AY37" s="9" t="str">
        <x:v>73%</x:v>
      </x:c>
      <x:c r="AZ37" s="9" t="str">
        <x:v>3.6</x:v>
      </x:c>
      <x:c r="BA37" s="11" t="str">
        <x:f>HYPERLINK("https://www.mobygames.com/game/272/star-wars-rebel-assault/","MobyGames")</x:f>
        <x:v>MobyGames</x:v>
      </x:c>
      <x:c r="BB37" s="9"/>
      <x:c r="BC37" s="9"/>
      <x:c r="BD37" s="9"/>
      <x:c r="BE37" s="11" t="str">
        <x:f>HYPERLINK("https://en.wikipedia.org/wiki/Star_Wars:_Rebel_Assault","Wikipedia")</x:f>
        <x:v>Wikipedia</x:v>
      </x:c>
      <x:c r="BF37" s="11" t="str">
        <x:f>HYPERLINK("https://backloggd.com/search/games/Star%20Wars%3A%20Rebel%20Assault/","Backloggd")</x:f>
        <x:v>Backloggd</x:v>
      </x:c>
      <x:c r="BG37" s="11" t="str">
        <x:f>HYPERLINK("https://segaretro.org/index.php?search=Star+Wars%3A+Rebel+Assault","Sega Retro")</x:f>
        <x:v>Sega Retro</x:v>
      </x:c>
      <x:c r="BH37" s="9"/>
      <x:c r="BI37" s="12" t="str">
        <x:v>No</x:v>
      </x:c>
      <x:c r="BJ37" s="12" t="str"/>
      <x:c r="BK37" s="12" t="str">
        <x:v>No</x:v>
      </x:c>
      <x:c r="BL37" s="12" t="str"/>
      <x:c r="BM37" s="12" t="str"/>
      <x:c r="BN37" s="12" t="str"/>
      <x:c r="BO37" s="12" t="str"/>
      <x:c r="BP37" s="12" t="str"/>
      <x:c r="BQ37" s="12" t="str"/>
    </x:row>
    <x:row r="38">
      <x:c r="A38" s="9" t="str">
        <x:v>segacd-37</x:v>
      </x:c>
      <x:c r="B38" s="9" t="str">
        <x:v>a-x-101</x:v>
      </x:c>
      <x:c r="C38" s="9" t="str">
        <x:v>Sega CD</x:v>
      </x:c>
      <x:c r="D38" s="9" t="str">
        <x:v>A/X-101</x:v>
      </x:c>
      <x:c r="E38" s="9"/>
      <x:c r="F38" s="9" t="str">
        <x:v>Micronet</x:v>
      </x:c>
      <x:c r="G38" s="9" t="str">
        <x:v>Absolute Entertainment (NA), Micronet (JP)</x:v>
      </x:c>
      <x:c r="H38" s="9" t="n">
        <x:v>1994</x:v>
      </x:c>
      <x:c r="I38" s="9" t="str">
        <x:v>Yes</x:v>
      </x:c>
      <x:c r="J38" s="9" t="str">
        <x:v>Yes</x:v>
      </x:c>
      <x:c r="K38" s="9" t="str">
        <x:v>No</x:v>
      </x:c>
      <x:c r="L38" s="9" t="str">
        <x:v>No</x:v>
      </x:c>
      <x:c r="M38" s="9" t="str">
        <x:v>Rail shooter</x:v>
      </x:c>
      <x:c r="N38" s="9" t="str">
        <x:v>Pre-rendered CG</x:v>
      </x:c>
      <x:c r="O38" s="9" t="n">
        <x:v>9</x:v>
      </x:c>
      <x:c r="P38" s="9" t="str">
        <x:v>Pre-rendered CG</x:v>
      </x:c>
      <x:c r="Q38" s="9" t="str">
        <x:v>Released</x:v>
      </x:c>
      <x:c r="R38" s="9" t="str">
        <x:v>Original</x:v>
      </x:c>
      <x:c r="S38" s="9" t="str">
        <x:v>Sega CD only</x:v>
      </x:c>
      <x:c r="T38" s="9" t="str">
        <x:v>—</x:v>
      </x:c>
      <x:c r="U38" s="9" t="n">
        <x:v>1</x:v>
      </x:c>
      <x:c r="V38" s="9" t="str">
        <x:v>No</x:v>
      </x:c>
      <x:c r="W38" s="9" t="str">
        <x:v>Controller</x:v>
      </x:c>
      <x:c r="X38" s="9" t="str">
        <x:v>Low</x:v>
      </x:c>
      <x:c r="Y38" s="9"/>
      <x:c r="Z38" s="9" t="str">
        <x:v>45 min</x:v>
      </x:c>
      <x:c r="AA38" s="9" t="str">
        <x:v>Micronet's Rebel Assault knockoff with a giant mech instead of an X-wing — cheap, common, and more fun than its reputation.</x:v>
      </x:c>
      <x:c r="AB38" s="9" t="str">
        <x:v>Expanded options: at the title highlight Options and press Left, Left, Left, Right, Right, Right, Up, Down, Up, Down, A, B, C, Start to add a sound test, collision toggle, cutscene viewer and level select. (GameFAQs)</x:v>
      </x:c>
      <x:c r="AC38" s="9" t="str">
        <x:v>Full-screen pre-rendered CG, ~12 fps.</x:v>
      </x:c>
      <x:c r="AD38" s="9" t="str">
        <x:v>Medium.</x:v>
      </x:c>
      <x:c r="AE38" s="9" t="str">
        <x:v>Single ending.</x:v>
      </x:c>
      <x:c r="AF38" s="9" t="str">
        <x:v>Micronet also made Heavy Nova; A/X-101 was published in the US by Absolute Entertainment (Penn &amp; Teller's publisher).</x:v>
      </x:c>
      <x:c r="AG38" s="9" t="str">
        <x:v>US, JP.</x:v>
      </x:c>
      <x:c r="AH38" s="9" t="str">
        <x:v>No</x:v>
      </x:c>
      <x:c r="AI38" s="9" t="str">
        <x:v>Easy</x:v>
      </x:c>
      <x:c r="AJ38" s="9"/>
      <x:c r="AK38" s="9" t="str">
        <x:v>Rebel Assault-style mech shooter. Cheap and common in NA.</x:v>
      </x:c>
      <x:c r="AL38" s="10" t="n">
        <x:v>26.92</x:v>
      </x:c>
      <x:c r="AM38" s="10" t="n">
        <x:v>49.72</x:v>
      </x:c>
      <x:c r="AN38" s="10" t="n">
        <x:v>86.09</x:v>
      </x:c>
      <x:c r="AO38" s="9" t="str">
        <x:v>2026-10-20</x:v>
      </x:c>
      <x:c r="AP38" s="11" t="str">
        <x:f>HYPERLINK("https://www.pricecharting.com/search-products?q=A%2FX-101+sega+cd&amp;type=prices","PriceCharting")</x:f>
        <x:v>PriceCharting</x:v>
      </x:c>
      <x:c r="AQ38" s="9"/>
      <x:c r="AR38" s="9"/>
      <x:c r="AS38" s="9"/>
      <x:c r="AT38" s="9"/>
      <x:c r="AU38" s="9"/>
      <x:c r="AV38" s="9"/>
      <x:c r="AW38" s="9" t="str">
        <x:v>3/10</x:v>
      </x:c>
      <x:c r="AX38" s="9" t="str">
        <x:f>HYPERLINK("https://www.sega-16.com/2010/10/ax-101/","Sega-16")</x:f>
        <x:v>Sega-16</x:v>
      </x:c>
      <x:c r="AY38" s="9"/>
      <x:c r="AZ38" s="9"/>
      <x:c r="BA38" s="11" t="str">
        <x:f>HYPERLINK("https://www.mobygames.com/game/ax-101","MobyGames")</x:f>
        <x:v>MobyGames</x:v>
      </x:c>
      <x:c r="BB38" s="9"/>
      <x:c r="BC38" s="9"/>
      <x:c r="BD38" s="9"/>
      <x:c r="BE38" s="11" t="str">
        <x:f>HYPERLINK("https://en.wikipedia.org/wiki/A%2FX-101","Wikipedia")</x:f>
        <x:v>Wikipedia</x:v>
      </x:c>
      <x:c r="BF38" s="11" t="str">
        <x:f>HYPERLINK("https://backloggd.com/search/games/A/X-101/","Backloggd")</x:f>
        <x:v>Backloggd</x:v>
      </x:c>
      <x:c r="BG38" s="11" t="str">
        <x:f>HYPERLINK("https://segaretro.org/index.php?search=A%2FX-101","Sega Retro")</x:f>
        <x:v>Sega Retro</x:v>
      </x:c>
      <x:c r="BH38" s="9"/>
      <x:c r="BI38" s="12" t="str">
        <x:v>No</x:v>
      </x:c>
      <x:c r="BJ38" s="12" t="str"/>
      <x:c r="BK38" s="12" t="str">
        <x:v>No</x:v>
      </x:c>
      <x:c r="BL38" s="12" t="str"/>
      <x:c r="BM38" s="12" t="str"/>
      <x:c r="BN38" s="12" t="str"/>
      <x:c r="BO38" s="12" t="str"/>
      <x:c r="BP38" s="12" t="str"/>
      <x:c r="BQ38" s="12" t="str"/>
    </x:row>
    <x:row r="39">
      <x:c r="A39" s="9" t="str">
        <x:v>segacd-38</x:v>
      </x:c>
      <x:c r="B39" s="9" t="str">
        <x:v>silpheed</x:v>
      </x:c>
      <x:c r="C39" s="9" t="str">
        <x:v>Sega CD</x:v>
      </x:c>
      <x:c r="D39" s="9" t="str">
        <x:v>Silpheed</x:v>
      </x:c>
      <x:c r="E39" s="9"/>
      <x:c r="F39" s="9" t="str">
        <x:v>Game Arts</x:v>
      </x:c>
      <x:c r="G39" s="9" t="str">
        <x:v>Sega (NA/EU), Game Arts (JP)</x:v>
      </x:c>
      <x:c r="H39" s="9" t="n">
        <x:v>1993</x:v>
      </x:c>
      <x:c r="I39" s="9" t="str">
        <x:v>Yes</x:v>
      </x:c>
      <x:c r="J39" s="9" t="str">
        <x:v>Yes</x:v>
      </x:c>
      <x:c r="K39" s="9" t="str">
        <x:v>Yes</x:v>
      </x:c>
      <x:c r="L39" s="9" t="str">
        <x:v>No</x:v>
      </x:c>
      <x:c r="M39" s="9" t="str">
        <x:v>Vertical shooter</x:v>
      </x:c>
      <x:c r="N39" s="9" t="str">
        <x:v>Pre-rendered CG</x:v>
      </x:c>
      <x:c r="O39" s="9" t="n">
        <x:v>6</x:v>
      </x:c>
      <x:c r="P39" s="9" t="str">
        <x:v>Pre-rendered CG</x:v>
      </x:c>
      <x:c r="Q39" s="9" t="str">
        <x:v>Released</x:v>
      </x:c>
      <x:c r="R39" s="9" t="str">
        <x:v>1986 PC-88 shooter; Sega CD version is a reimagining</x:v>
      </x:c>
      <x:c r="S39" s="9" t="str">
        <x:v>PC-88/PC-98 original; PS2 sequel</x:v>
      </x:c>
      <x:c r="T39" s="9" t="str">
        <x:v>—</x:v>
      </x:c>
      <x:c r="U39" s="9" t="n">
        <x:v>1</x:v>
      </x:c>
      <x:c r="V39" s="9" t="str">
        <x:v>No</x:v>
      </x:c>
      <x:c r="W39" s="9" t="str">
        <x:v>Controller</x:v>
      </x:c>
      <x:c r="X39" s="9" t="str">
        <x:v>Low</x:v>
      </x:c>
      <x:c r="Y39" s="9"/>
      <x:c r="Z39" s="9" t="str">
        <x:v>1 hr</x:v>
      </x:c>
      <x:c r="AA39" s="9" t="str">
        <x:v>The shooter that faked 3D polygon space battles by streaming them off the disc — and it still looks good.</x:v>
      </x:c>
      <x:c r="AB39" s="9" t="str">
        <x:v>Stage select: during the intro press Down, Down, Up, Up, Right, Left, Right, Left, A, B, Start, then pick the stage and press A. Debug mode: controller 2 at the opening, Left, A, B, Up, Down, Up, Up, Left, Right, C, Right, Down, B. 10 continues on your last continue: during the intro movie Right, Up, A, B, C, Left, Left, Down, C, A, Start. (GameFAQs)</x:v>
      </x:c>
      <x:c r="AC39" s="9" t="str">
        <x:v>Full-screen streamed backgrounds, 15 fps, polygon ship on top.</x:v>
      </x:c>
      <x:c r="AD39" s="9" t="str">
        <x:v>Medium-hard — 12 stages, no continues on higher settings.</x:v>
      </x:c>
      <x:c r="AE39" s="9" t="str">
        <x:v>Single ending.</x:v>
      </x:c>
      <x:c r="AF39" s="9" t="str">
        <x:v>Game Arts' showcase for the Sega CD; the 'backgrounds are FMV' trick was widely misunderstood at the time as real-time 3D.</x:v>
      </x:c>
      <x:c r="AG39" s="9" t="str">
        <x:v>US, PAL, JP.</x:v>
      </x:c>
      <x:c r="AH39" s="9" t="str">
        <x:v>No</x:v>
      </x:c>
      <x:c r="AI39" s="9" t="str">
        <x:v>Easy</x:v>
      </x:c>
      <x:c r="AJ39" s="9"/>
      <x:c r="AK39" s="9" t="str">
        <x:v>Polygon ship over streamed pre-rendered backgrounds. Plays as a real shooter; FMV is the backdrop.</x:v>
      </x:c>
      <x:c r="AL39" s="10" t="n">
        <x:v>21.5</x:v>
      </x:c>
      <x:c r="AM39" s="10" t="n">
        <x:v>31</x:v>
      </x:c>
      <x:c r="AN39" s="10" t="n">
        <x:v>62.5</x:v>
      </x:c>
      <x:c r="AO39" s="9" t="str">
        <x:v>2026-10-20</x:v>
      </x:c>
      <x:c r="AP39" s="11" t="str">
        <x:f>HYPERLINK("https://www.pricecharting.com/search-products?q=Silpheed+sega+cd&amp;type=prices","PriceCharting")</x:f>
        <x:v>PriceCharting</x:v>
      </x:c>
      <x:c r="AQ39" s="9"/>
      <x:c r="AR39" s="9"/>
      <x:c r="AS39" s="9"/>
      <x:c r="AT39" s="9"/>
      <x:c r="AU39" s="9"/>
      <x:c r="AV39" s="9"/>
      <x:c r="AW39" s="9" t="str">
        <x:v>7/10</x:v>
      </x:c>
      <x:c r="AX39" s="9" t="str">
        <x:f>HYPERLINK("https://www.sega-16.com/?p=2641","Sega-16")</x:f>
        <x:v>Sega-16</x:v>
      </x:c>
      <x:c r="AY39" s="9" t="str">
        <x:v>81%</x:v>
      </x:c>
      <x:c r="AZ39" s="9" t="str">
        <x:v>3.8</x:v>
      </x:c>
      <x:c r="BA39" s="11" t="str">
        <x:f>HYPERLINK("https://www.mobygames.com/game/silpheed_","MobyGames")</x:f>
        <x:v>MobyGames</x:v>
      </x:c>
      <x:c r="BB39" s="9"/>
      <x:c r="BC39" s="9"/>
      <x:c r="BD39" s="9"/>
      <x:c r="BE39" s="11" t="str">
        <x:f>HYPERLINK("https://en.wikipedia.org/wiki/Silpheed","Wikipedia")</x:f>
        <x:v>Wikipedia</x:v>
      </x:c>
      <x:c r="BF39" s="11" t="str">
        <x:f>HYPERLINK("https://backloggd.com/search/games/Silpheed/","Backloggd")</x:f>
        <x:v>Backloggd</x:v>
      </x:c>
      <x:c r="BG39" s="11" t="str">
        <x:f>HYPERLINK("https://segaretro.org/index.php?search=Silpheed","Sega Retro")</x:f>
        <x:v>Sega Retro</x:v>
      </x:c>
      <x:c r="BH39" s="9"/>
      <x:c r="BI39" s="12" t="str">
        <x:v>No</x:v>
      </x:c>
      <x:c r="BJ39" s="12" t="str"/>
      <x:c r="BK39" s="12" t="str">
        <x:v>No</x:v>
      </x:c>
      <x:c r="BL39" s="12" t="str"/>
      <x:c r="BM39" s="12" t="str"/>
      <x:c r="BN39" s="12" t="str"/>
      <x:c r="BO39" s="12" t="str"/>
      <x:c r="BP39" s="12" t="str"/>
      <x:c r="BQ39" s="12" t="str"/>
    </x:row>
    <x:row r="40">
      <x:c r="A40" s="9" t="str">
        <x:v>segacd-39</x:v>
      </x:c>
      <x:c r="B40" s="9" t="str">
        <x:v>iron-helix</x:v>
      </x:c>
      <x:c r="C40" s="9" t="str">
        <x:v>Sega CD</x:v>
      </x:c>
      <x:c r="D40" s="9" t="str">
        <x:v>Iron Helix</x:v>
      </x:c>
      <x:c r="E40" s="9"/>
      <x:c r="F40" s="9" t="str">
        <x:v>Drew Pictures</x:v>
      </x:c>
      <x:c r="G40" s="9" t="str">
        <x:v>Spectrum HoloByte</x:v>
      </x:c>
      <x:c r="H40" s="9" t="n">
        <x:v>1994</x:v>
      </x:c>
      <x:c r="I40" s="9" t="str">
        <x:v>Yes</x:v>
      </x:c>
      <x:c r="J40" s="9" t="str">
        <x:v>No</x:v>
      </x:c>
      <x:c r="K40" s="9" t="str">
        <x:v>No</x:v>
      </x:c>
      <x:c r="L40" s="9" t="str">
        <x:v>No</x:v>
      </x:c>
      <x:c r="M40" s="9" t="str">
        <x:v>First-person adventure</x:v>
      </x:c>
      <x:c r="N40" s="9" t="str">
        <x:v>Pre-rendered CG</x:v>
      </x:c>
      <x:c r="O40" s="9" t="n">
        <x:v>7</x:v>
      </x:c>
      <x:c r="P40" s="9" t="str">
        <x:v>Pre-rendered CG</x:v>
      </x:c>
      <x:c r="Q40" s="9" t="str">
        <x:v>Released</x:v>
      </x:c>
      <x:c r="R40" s="9" t="str">
        <x:v>Original</x:v>
      </x:c>
      <x:c r="S40" s="9" t="str">
        <x:v>PC, Mac</x:v>
      </x:c>
      <x:c r="T40" s="9" t="str">
        <x:v>—</x:v>
      </x:c>
      <x:c r="U40" s="9" t="n">
        <x:v>2</x:v>
      </x:c>
      <x:c r="V40" s="9" t="str">
        <x:v>Yes</x:v>
      </x:c>
      <x:c r="W40" s="9" t="str">
        <x:v>Controller</x:v>
      </x:c>
      <x:c r="X40" s="9" t="str">
        <x:v>Low</x:v>
      </x:c>
      <x:c r="Y40" s="9"/>
      <x:c r="Z40" s="9" t="str">
        <x:v>2–4 hr</x:v>
      </x:c>
      <x:c r="AA40" s="9" t="str">
        <x:v>A CG Myst-meets-Alien where you pilot a probe through a derelict ship while a robot hunts you — the scariest Sega CD game.</x:v>
      </x:c>
      <x:c r="AB40" s="9" t="str">
        <x:v>None known; save often.</x:v>
      </x:c>
      <x:c r="AC40" s="9" t="str">
        <x:v>Pre-rendered CG movement clips, small window, ~10 fps.</x:v>
      </x:c>
      <x:c r="AD40" s="9" t="str">
        <x:v>Hard — the Defender robot hunts you; one mistake is death.</x:v>
      </x:c>
      <x:c r="AE40" s="9" t="str">
        <x:v>Single ending; game over if the ship reaches the planet.</x:v>
      </x:c>
      <x:c r="AF40" s="9" t="str">
        <x:v>Drew Pictures' Mac CD-ROM original (1993); Spectrum HoloByte ported it. 2 discs.</x:v>
      </x:c>
      <x:c r="AG40" s="9" t="str">
        <x:v>US 2-disc.</x:v>
      </x:c>
      <x:c r="AH40" s="9" t="str">
        <x:v>No</x:v>
      </x:c>
      <x:c r="AI40" s="9" t="str">
        <x:v>Easy</x:v>
      </x:c>
      <x:c r="AJ40" s="9"/>
      <x:c r="AK40" s="9" t="str">
        <x:v>Explore a derelict ship via a probe; movement is pre-rendered video clips. 2-disc set.</x:v>
      </x:c>
      <x:c r="AL40" s="10" t="n">
        <x:v>18.06</x:v>
      </x:c>
      <x:c r="AM40" s="10" t="n">
        <x:v>29.16</x:v>
      </x:c>
      <x:c r="AN40" s="10" t="n">
        <x:v>49.37</x:v>
      </x:c>
      <x:c r="AO40" s="9" t="str">
        <x:v>2026-10-20</x:v>
      </x:c>
      <x:c r="AP40" s="11" t="str">
        <x:f>HYPERLINK("https://www.pricecharting.com/search-products?q=Iron+Helix+sega+cd&amp;type=prices","PriceCharting")</x:f>
        <x:v>PriceCharting</x:v>
      </x:c>
      <x:c r="AQ40" s="9"/>
      <x:c r="AR40" s="9"/>
      <x:c r="AS40" s="9"/>
      <x:c r="AT40" s="9"/>
      <x:c r="AU40" s="9"/>
      <x:c r="AV40" s="9"/>
      <x:c r="AW40" s="9" t="str">
        <x:v>7/10</x:v>
      </x:c>
      <x:c r="AX40" s="9" t="str">
        <x:f>HYPERLINK("https://www.sega-16.com/?p=21678","Sega-16")</x:f>
        <x:v>Sega-16</x:v>
      </x:c>
      <x:c r="AY40" s="9" t="str">
        <x:v>71%</x:v>
      </x:c>
      <x:c r="AZ40" s="9" t="str">
        <x:v>3.7</x:v>
      </x:c>
      <x:c r="BA40" s="11" t="str">
        <x:f>HYPERLINK("https://www.mobygames.com/game/679/iron-helix/","MobyGames")</x:f>
        <x:v>MobyGames</x:v>
      </x:c>
      <x:c r="BB40" s="9"/>
      <x:c r="BC40" s="9"/>
      <x:c r="BD40" s="9"/>
      <x:c r="BE40" s="11" t="str">
        <x:f>HYPERLINK("https://en.wikipedia.org/wiki/Iron_Helix","Wikipedia")</x:f>
        <x:v>Wikipedia</x:v>
      </x:c>
      <x:c r="BF40" s="11" t="str">
        <x:f>HYPERLINK("https://backloggd.com/search/games/Iron%20Helix/","Backloggd")</x:f>
        <x:v>Backloggd</x:v>
      </x:c>
      <x:c r="BG40" s="11" t="str">
        <x:f>HYPERLINK("https://segaretro.org/index.php?search=Iron+Helix","Sega Retro")</x:f>
        <x:v>Sega Retro</x:v>
      </x:c>
      <x:c r="BH40" s="9"/>
      <x:c r="BI40" s="12" t="str">
        <x:v>No</x:v>
      </x:c>
      <x:c r="BJ40" s="12" t="str"/>
      <x:c r="BK40" s="12" t="str">
        <x:v>No</x:v>
      </x:c>
      <x:c r="BL40" s="12" t="str"/>
      <x:c r="BM40" s="12" t="str"/>
      <x:c r="BN40" s="12" t="str"/>
      <x:c r="BO40" s="12" t="str"/>
      <x:c r="BP40" s="12" t="str"/>
      <x:c r="BQ40" s="12" t="str"/>
    </x:row>
    <x:row r="41">
      <x:c r="A41" s="9" t="str">
        <x:v>segacd-40</x:v>
      </x:c>
      <x:c r="B41" s="9" t="str">
        <x:v>mansion-of-hidden-souls</x:v>
      </x:c>
      <x:c r="C41" s="9" t="str">
        <x:v>Sega CD</x:v>
      </x:c>
      <x:c r="D41" s="9" t="str">
        <x:v>Mansion of Hidden Souls</x:v>
      </x:c>
      <x:c r="E41" s="9" t="str">
        <x:v>Yumemi Yakata: Tobira no Oku ni Dareka ga... (JP)</x:v>
      </x:c>
      <x:c r="F41" s="9" t="str">
        <x:v>System Sacom</x:v>
      </x:c>
      <x:c r="G41" s="9" t="str">
        <x:v>Sega (JP/EU), Vic Tokai (NA)</x:v>
      </x:c>
      <x:c r="H41" s="9" t="n">
        <x:v>1993</x:v>
      </x:c>
      <x:c r="I41" s="9" t="str">
        <x:v>Yes</x:v>
      </x:c>
      <x:c r="J41" s="9" t="str">
        <x:v>Yes</x:v>
      </x:c>
      <x:c r="K41" s="9" t="str">
        <x:v>Yes</x:v>
      </x:c>
      <x:c r="L41" s="9" t="str">
        <x:v>No</x:v>
      </x:c>
      <x:c r="M41" s="9" t="str">
        <x:v>First-person adventure</x:v>
      </x:c>
      <x:c r="N41" s="9" t="str">
        <x:v>Pre-rendered CG</x:v>
      </x:c>
      <x:c r="O41" s="9" t="n">
        <x:v>7</x:v>
      </x:c>
      <x:c r="P41" s="9" t="str">
        <x:v>Pre-rendered CG</x:v>
      </x:c>
      <x:c r="Q41" s="9" t="str">
        <x:v>Released</x:v>
      </x:c>
      <x:c r="R41" s="9" t="str">
        <x:v>Original</x:v>
      </x:c>
      <x:c r="S41" s="9" t="str">
        <x:v>Saturn sequel ('The Mansion of Hidden Souls', 1996)</x:v>
      </x:c>
      <x:c r="T41" s="9" t="str">
        <x:v>—</x:v>
      </x:c>
      <x:c r="U41" s="9" t="n">
        <x:v>1</x:v>
      </x:c>
      <x:c r="V41" s="9" t="str">
        <x:v>Yes</x:v>
      </x:c>
      <x:c r="W41" s="9" t="str">
        <x:v>Controller</x:v>
      </x:c>
      <x:c r="X41" s="9" t="str">
        <x:v>Low</x:v>
      </x:c>
      <x:c r="Y41" s="9"/>
      <x:c r="Z41" s="9" t="str">
        <x:v>2–3 hr</x:v>
      </x:c>
      <x:c r="AA41" s="9" t="str">
        <x:v>A Japanese Myst about a mansion full of butterflies that used to be people, made before Myst existed.</x:v>
      </x:c>
      <x:c r="AB41" s="9" t="str">
        <x:v>None.</x:v>
      </x:c>
      <x:c r="AC41" s="9" t="str">
        <x:v>Pre-rendered CG transitions, small window; soft and dreamy, suits the game.</x:v>
      </x:c>
      <x:c r="AD41" s="9" t="str">
        <x:v>Easy — a short adventure.</x:v>
      </x:c>
      <x:c r="AE41" s="9" t="str">
        <x:v>Single ending.</x:v>
      </x:c>
      <x:c r="AF41" s="9" t="str">
        <x:v>System Sacom's 'Yumemi Yakata' (1993) predates Myst's console ports; a Saturn sequel followed in 1996.</x:v>
      </x:c>
      <x:c r="AG41" s="9" t="str">
        <x:v>US (Vic Tokai), PAL (Sega), JP (Sega).</x:v>
      </x:c>
      <x:c r="AH41" s="9" t="str">
        <x:v>No</x:v>
      </x:c>
      <x:c r="AI41" s="9" t="str">
        <x:v>Easy</x:v>
      </x:c>
      <x:c r="AJ41" s="9"/>
      <x:c r="AK41" s="9" t="str">
        <x:v>Myst-like point-and-click where every move is a streamed CG clip. JP 1993, NA/EU 1994. Saturn sequel exists.</x:v>
      </x:c>
      <x:c r="AL41" s="10" t="n">
        <x:v>18.19</x:v>
      </x:c>
      <x:c r="AM41" s="10" t="n">
        <x:v>44.99</x:v>
      </x:c>
      <x:c r="AN41" s="10" t="n">
        <x:v>81</x:v>
      </x:c>
      <x:c r="AO41" s="9" t="str">
        <x:v>2026-10-20</x:v>
      </x:c>
      <x:c r="AP41" s="11" t="str">
        <x:f>HYPERLINK("https://www.pricecharting.com/search-products?q=Mansion+of+Hidden+Souls+sega+cd&amp;type=prices","PriceCharting")</x:f>
        <x:v>PriceCharting</x:v>
      </x:c>
      <x:c r="AQ41" s="9"/>
      <x:c r="AR41" s="9"/>
      <x:c r="AS41" s="9"/>
      <x:c r="AT41" s="9"/>
      <x:c r="AU41" s="9"/>
      <x:c r="AV41" s="9"/>
      <x:c r="AW41" s="9" t="str">
        <x:v>6/10</x:v>
      </x:c>
      <x:c r="AX41" s="9" t="str">
        <x:f>HYPERLINK("https://www.sega-16.com/2005/11/mansion-of-hidden-souls/","Sega-16")</x:f>
        <x:v>Sega-16</x:v>
      </x:c>
      <x:c r="AY41" s="9" t="str">
        <x:v>71%</x:v>
      </x:c>
      <x:c r="AZ41" s="9" t="str">
        <x:v>3.7</x:v>
      </x:c>
      <x:c r="BA41" s="11" t="str">
        <x:f>HYPERLINK("https://www.mobygames.com/game/12010/mansion-of-hidden-souls/","MobyGames")</x:f>
        <x:v>MobyGames</x:v>
      </x:c>
      <x:c r="BB41" s="9"/>
      <x:c r="BC41" s="9"/>
      <x:c r="BD41" s="9"/>
      <x:c r="BE41" s="11" t="str">
        <x:f>HYPERLINK("https://en.wikipedia.org/wiki/Mansion_of_Hidden_Souls_(Sega_CD_video_game)","Wikipedia")</x:f>
        <x:v>Wikipedia</x:v>
      </x:c>
      <x:c r="BF41" s="11" t="str">
        <x:f>HYPERLINK("https://backloggd.com/search/games/Mansion%20of%20Hidden%20Souls/","Backloggd")</x:f>
        <x:v>Backloggd</x:v>
      </x:c>
      <x:c r="BG41" s="11" t="str">
        <x:f>HYPERLINK("https://segaretro.org/index.php?search=Mansion+of+Hidden+Souls","Sega Retro")</x:f>
        <x:v>Sega Retro</x:v>
      </x:c>
      <x:c r="BH41" s="9"/>
      <x:c r="BI41" s="12" t="str">
        <x:v>No</x:v>
      </x:c>
      <x:c r="BJ41" s="12" t="str"/>
      <x:c r="BK41" s="12" t="str">
        <x:v>No</x:v>
      </x:c>
      <x:c r="BL41" s="12" t="str"/>
      <x:c r="BM41" s="12" t="str"/>
      <x:c r="BN41" s="12" t="str"/>
      <x:c r="BO41" s="12" t="str"/>
      <x:c r="BP41" s="12" t="str"/>
      <x:c r="BQ41" s="12" t="str"/>
    </x:row>
    <x:row r="42">
      <x:c r="A42" s="9" t="str">
        <x:v>segacd-41</x:v>
      </x:c>
      <x:c r="B42" s="9" t="str">
        <x:v>sherlock-holmes-consulting-detective-vol-i</x:v>
      </x:c>
      <x:c r="C42" s="9" t="str">
        <x:v>Sega CD</x:v>
      </x:c>
      <x:c r="D42" s="9" t="str">
        <x:v>Sherlock Holmes: Consulting Detective Vol. I</x:v>
      </x:c>
      <x:c r="E42" s="9"/>
      <x:c r="F42" s="9" t="str">
        <x:v>ICOM Simulations</x:v>
      </x:c>
      <x:c r="G42" s="9" t="str">
        <x:v>Sega (NA/EU), Victor (JP)</x:v>
      </x:c>
      <x:c r="H42" s="9" t="n">
        <x:v>1992</x:v>
      </x:c>
      <x:c r="I42" s="9" t="str">
        <x:v>Yes</x:v>
      </x:c>
      <x:c r="J42" s="9" t="str">
        <x:v>Yes</x:v>
      </x:c>
      <x:c r="K42" s="9" t="str">
        <x:v>Yes</x:v>
      </x:c>
      <x:c r="L42" s="9" t="str">
        <x:v>No</x:v>
      </x:c>
      <x:c r="M42" s="9" t="str">
        <x:v>Mystery adventure</x:v>
      </x:c>
      <x:c r="N42" s="9" t="str">
        <x:v>Live-action</x:v>
      </x:c>
      <x:c r="O42" s="9" t="n">
        <x:v>10</x:v>
      </x:c>
      <x:c r="P42" s="9" t="str">
        <x:v>FMV adventure</x:v>
      </x:c>
      <x:c r="Q42" s="9" t="str">
        <x:v>Released</x:v>
      </x:c>
      <x:c r="R42" s="9" t="str">
        <x:v>1991 ICOM PC/FM Towns game</x:v>
      </x:c>
      <x:c r="S42" s="9" t="str">
        <x:v>PC, Mac, CD-i, 3DO, Saturn, iOS</x:v>
      </x:c>
      <x:c r="T42" s="9" t="str">
        <x:v>Peter Farley (Holmes)</x:v>
      </x:c>
      <x:c r="U42" s="9" t="n">
        <x:v>1</x:v>
      </x:c>
      <x:c r="V42" s="9" t="str">
        <x:v>Yes</x:v>
      </x:c>
      <x:c r="W42" s="9" t="str">
        <x:v>Controller, Sega Mouse</x:v>
      </x:c>
      <x:c r="X42" s="9" t="str">
        <x:v>Low</x:v>
      </x:c>
      <x:c r="Y42" s="9"/>
      <x:c r="Z42" s="9" t="str">
        <x:v>3–5 hr (3 cases)</x:v>
      </x:c>
      <x:c r="AA42" s="9" t="str">
        <x:v>A 1991 FMV detective game that is still a good detective game — three cases of actual deduction.</x:v>
      </x:c>
      <x:c r="AB42" s="9" t="str">
        <x:v>None; cases can be replayed.</x:v>
      </x:c>
      <x:c r="AC42" s="9" t="str">
        <x:v>Small window, ~10 fps, 64 colours; the stagey footage survives compression well.</x:v>
      </x:c>
      <x:c r="AD42" s="9" t="str">
        <x:v>Medium — real deduction required; scoring compares your path to Holmes's.</x:v>
      </x:c>
      <x:c r="AE42" s="9" t="str">
        <x:v>Each case ends with a trial; score depends on route.</x:v>
      </x:c>
      <x:c r="AF42" s="9" t="str">
        <x:v>Based on the 1981 board game. Peter Farley's Holmes was filmed in 1990. Sega CD launch-window title.</x:v>
      </x:c>
      <x:c r="AG42" s="9" t="str">
        <x:v>US, PAL, JP; US 'Sherlock Holmes &amp; Sega Classics' bundle disc.</x:v>
      </x:c>
      <x:c r="AH42" s="9" t="str">
        <x:v>Yes (PC/iOS versions on sale)</x:v>
      </x:c>
      <x:c r="AI42" s="9" t="str">
        <x:v>Easy</x:v>
      </x:c>
      <x:c r="AJ42" s="9"/>
      <x:c r="AK42" s="9" t="str">
        <x:v>Three cases; watch testimony clips, pick locations, solve in court. Launch-window title.</x:v>
      </x:c>
      <x:c r="AL42" s="10" t="n">
        <x:v>8.35</x:v>
      </x:c>
      <x:c r="AM42" s="10" t="n">
        <x:v>9.75</x:v>
      </x:c>
      <x:c r="AN42" s="10" t="n">
        <x:v>19.99</x:v>
      </x:c>
      <x:c r="AO42" s="9" t="str">
        <x:v>2026-10-20</x:v>
      </x:c>
      <x:c r="AP42" s="11" t="str">
        <x:f>HYPERLINK("https://www.pricecharting.com/search-products?q=Sherlock+Holmes%3A+Consulting+Detective+Vol.+I+sega+cd&amp;type=prices","PriceCharting")</x:f>
        <x:v>PriceCharting</x:v>
      </x:c>
      <x:c r="AQ42" s="9"/>
      <x:c r="AR42" s="9"/>
      <x:c r="AS42" s="9"/>
      <x:c r="AT42" s="9"/>
      <x:c r="AU42" s="9"/>
      <x:c r="AV42" s="9"/>
      <x:c r="AW42" s="9" t="str">
        <x:v>3/10</x:v>
      </x:c>
      <x:c r="AX42" s="9" t="str">
        <x:f>HYPERLINK("https://www.sega-16.com/2007/12/sherlock-holmes-consulting-detective-vol-1/","Sega-16")</x:f>
        <x:v>Sega-16</x:v>
      </x:c>
      <x:c r="AY42" s="9" t="str">
        <x:v>66%</x:v>
      </x:c>
      <x:c r="AZ42" s="9" t="str">
        <x:v>4.1</x:v>
      </x:c>
      <x:c r="BA42" s="11" t="str">
        <x:f>HYPERLINK("https://www.mobygames.com/game/392/","MobyGames")</x:f>
        <x:v>MobyGames</x:v>
      </x:c>
      <x:c r="BB42" s="9"/>
      <x:c r="BC42" s="9"/>
      <x:c r="BD42" s="9"/>
      <x:c r="BE42" s="11" t="str">
        <x:f>HYPERLINK("https://en.wikipedia.org/wiki/Sherlock_Holmes:_Consulting_Detective","Wikipedia")</x:f>
        <x:v>Wikipedia</x:v>
      </x:c>
      <x:c r="BF42" s="11" t="str">
        <x:f>HYPERLINK("https://backloggd.com/search/games/Sherlock%20Holmes%3A%20Consulting%20Detective%20Vol.%20I/","Backloggd")</x:f>
        <x:v>Backloggd</x:v>
      </x:c>
      <x:c r="BG42" s="11" t="str">
        <x:f>HYPERLINK("https://segaretro.org/index.php?search=Sherlock+Holmes%3A+Consulting+Detective+Vol.+I","Sega Retro")</x:f>
        <x:v>Sega Retro</x:v>
      </x:c>
      <x:c r="BH42" s="9"/>
      <x:c r="BI42" s="12" t="str">
        <x:v>No</x:v>
      </x:c>
      <x:c r="BJ42" s="12" t="str"/>
      <x:c r="BK42" s="12" t="str">
        <x:v>No</x:v>
      </x:c>
      <x:c r="BL42" s="12" t="str"/>
      <x:c r="BM42" s="12" t="str"/>
      <x:c r="BN42" s="12" t="str"/>
      <x:c r="BO42" s="12" t="str"/>
      <x:c r="BP42" s="12" t="str"/>
      <x:c r="BQ42" s="12" t="str"/>
    </x:row>
    <x:row r="43">
      <x:c r="A43" s="9" t="str">
        <x:v>segacd-42</x:v>
      </x:c>
      <x:c r="B43" s="9" t="str">
        <x:v>sherlock-holmes-consulting-detective-vol-ii</x:v>
      </x:c>
      <x:c r="C43" s="9" t="str">
        <x:v>Sega CD</x:v>
      </x:c>
      <x:c r="D43" s="9" t="str">
        <x:v>Sherlock Holmes: Consulting Detective Vol. II</x:v>
      </x:c>
      <x:c r="E43" s="9"/>
      <x:c r="F43" s="9" t="str">
        <x:v>ICOM Simulations</x:v>
      </x:c>
      <x:c r="G43" s="9" t="str">
        <x:v>Sega (NA/EU), Victor (JP)</x:v>
      </x:c>
      <x:c r="H43" s="9" t="n">
        <x:v>1993</x:v>
      </x:c>
      <x:c r="I43" s="9" t="str">
        <x:v>Yes</x:v>
      </x:c>
      <x:c r="J43" s="9" t="str">
        <x:v>Yes</x:v>
      </x:c>
      <x:c r="K43" s="9" t="str">
        <x:v>Yes</x:v>
      </x:c>
      <x:c r="L43" s="9" t="str">
        <x:v>No</x:v>
      </x:c>
      <x:c r="M43" s="9" t="str">
        <x:v>Mystery adventure</x:v>
      </x:c>
      <x:c r="N43" s="9" t="str">
        <x:v>Live-action</x:v>
      </x:c>
      <x:c r="O43" s="9" t="n">
        <x:v>10</x:v>
      </x:c>
      <x:c r="P43" s="9" t="str">
        <x:v>FMV adventure</x:v>
      </x:c>
      <x:c r="Q43" s="9" t="str">
        <x:v>Released</x:v>
      </x:c>
      <x:c r="R43" s="9" t="str">
        <x:v>1992 ICOM PC game</x:v>
      </x:c>
      <x:c r="S43" s="9" t="str">
        <x:v>PC, Mac, 3DO, Saturn</x:v>
      </x:c>
      <x:c r="T43" s="9" t="str">
        <x:v>Peter Farley (Holmes)</x:v>
      </x:c>
      <x:c r="U43" s="9" t="n">
        <x:v>1</x:v>
      </x:c>
      <x:c r="V43" s="9" t="str">
        <x:v>Yes</x:v>
      </x:c>
      <x:c r="W43" s="9" t="str">
        <x:v>Controller, Sega Mouse</x:v>
      </x:c>
      <x:c r="X43" s="9" t="str">
        <x:v>Low</x:v>
      </x:c>
      <x:c r="Y43" s="9"/>
      <x:c r="Z43" s="9" t="str">
        <x:v>3–5 hr (3 cases)</x:v>
      </x:c>
      <x:c r="AA43" s="9" t="str">
        <x:v>Three more cases, including 'The Tin Soldier', generally considered the best case in the series.</x:v>
      </x:c>
      <x:c r="AB43" s="9" t="str">
        <x:v>None.</x:v>
      </x:c>
      <x:c r="AC43" s="9" t="str">
        <x:v>Same engine.</x:v>
      </x:c>
      <x:c r="AD43" s="9" t="str">
        <x:v>Medium.</x:v>
      </x:c>
      <x:c r="AE43" s="9" t="str">
        <x:v>Per-case trial endings.</x:v>
      </x:c>
      <x:c r="AF43" s="9" t="str">
        <x:v>Cases: The Two Lions, The Pilfered Paintings, The Murdered Munitions Magnate.</x:v>
      </x:c>
      <x:c r="AG43" s="9" t="str">
        <x:v>US, PAL, JP.</x:v>
      </x:c>
      <x:c r="AH43" s="9" t="str">
        <x:v>No (this volume); no restored edition verified. The later restoration covers a different volume.</x:v>
      </x:c>
      <x:c r="AI43" s="9" t="str">
        <x:v>Easy</x:v>
      </x:c>
      <x:c r="AJ43" s="9" t="str">
        <x:v>Original disc on the appropriate system or a compatible emulator; no restoration of this volume verified.</x:v>
      </x:c>
      <x:c r="AK43" s="9" t="str">
        <x:v>Three more cases, same engine.</x:v>
      </x:c>
      <x:c r="AL43" s="10" t="n">
        <x:v>8</x:v>
      </x:c>
      <x:c r="AM43" s="10" t="n">
        <x:v>36.7</x:v>
      </x:c>
      <x:c r="AN43" s="10" t="n">
        <x:v>66</x:v>
      </x:c>
      <x:c r="AO43" s="9" t="str">
        <x:v>2026-10-20</x:v>
      </x:c>
      <x:c r="AP43" s="11" t="str">
        <x:f>HYPERLINK("https://www.pricecharting.com/search-products?q=Sherlock+Holmes%3A+Consulting+Detective+Vol.+II+sega+cd&amp;type=prices","PriceCharting")</x:f>
        <x:v>PriceCharting</x:v>
      </x:c>
      <x:c r="AQ43" s="9"/>
      <x:c r="AR43" s="9"/>
      <x:c r="AS43" s="9"/>
      <x:c r="AT43" s="9"/>
      <x:c r="AU43" s="9"/>
      <x:c r="AV43" s="9"/>
      <x:c r="AW43" s="9"/>
      <x:c r="AX43" s="9"/>
      <x:c r="AY43" s="9" t="str">
        <x:v>62%</x:v>
      </x:c>
      <x:c r="AZ43" s="9"/>
      <x:c r="BA43" s="11" t="str">
        <x:f>HYPERLINK("https://www.mobygames.com/game/sherlock-holmes-consulting-detective-volume-ii","MobyGames")</x:f>
        <x:v>MobyGames</x:v>
      </x:c>
      <x:c r="BB43" s="9"/>
      <x:c r="BC43" s="9"/>
      <x:c r="BD43" s="9"/>
      <x:c r="BE43" s="11" t="str">
        <x:f>HYPERLINK("https://en.wikipedia.org/wiki/Sherlock_Holmes:_Consulting_Detective_Vol._II","Wikipedia")</x:f>
        <x:v>Wikipedia</x:v>
      </x:c>
      <x:c r="BF43" s="11" t="str">
        <x:f>HYPERLINK("https://backloggd.com/search/games/Sherlock%20Holmes%3A%20Consulting%20Detective%20Vol.%20II/","Backloggd")</x:f>
        <x:v>Backloggd</x:v>
      </x:c>
      <x:c r="BG43" s="11" t="str">
        <x:f>HYPERLINK("https://segaretro.org/index.php?search=Sherlock+Holmes%3A+Consulting+Detective+Vol.+II","Sega Retro")</x:f>
        <x:v>Sega Retro</x:v>
      </x:c>
      <x:c r="BH43" s="9"/>
      <x:c r="BI43" s="12" t="str">
        <x:v>No</x:v>
      </x:c>
      <x:c r="BJ43" s="12" t="str"/>
      <x:c r="BK43" s="12" t="str">
        <x:v>No</x:v>
      </x:c>
      <x:c r="BL43" s="12" t="str"/>
      <x:c r="BM43" s="12" t="str"/>
      <x:c r="BN43" s="12" t="str"/>
      <x:c r="BO43" s="12" t="str"/>
      <x:c r="BP43" s="12" t="str"/>
      <x:c r="BQ43" s="12" t="str"/>
    </x:row>
    <x:row r="44">
      <x:c r="A44" s="9" t="str">
        <x:v>segacd-43</x:v>
      </x:c>
      <x:c r="B44" s="9" t="str">
        <x:v>sherlock-holmes-consulting-detective-vol-iii</x:v>
      </x:c>
      <x:c r="C44" s="9" t="str">
        <x:v>Sega CD</x:v>
      </x:c>
      <x:c r="D44" s="9" t="str">
        <x:v>Sherlock Holmes: Consulting Detective Vol. III</x:v>
      </x:c>
      <x:c r="E44" s="9"/>
      <x:c r="F44" s="9" t="str">
        <x:v>ICOM Simulations</x:v>
      </x:c>
      <x:c r="G44" s="9" t="str">
        <x:v>Victor</x:v>
      </x:c>
      <x:c r="H44" s="9" t="n">
        <x:v>1993</x:v>
      </x:c>
      <x:c r="I44" s="9" t="str">
        <x:v>No</x:v>
      </x:c>
      <x:c r="J44" s="9" t="str">
        <x:v>Yes</x:v>
      </x:c>
      <x:c r="K44" s="9" t="str">
        <x:v>No</x:v>
      </x:c>
      <x:c r="L44" s="9" t="str">
        <x:v>No</x:v>
      </x:c>
      <x:c r="M44" s="9" t="str">
        <x:v>Mystery adventure</x:v>
      </x:c>
      <x:c r="N44" s="9" t="str">
        <x:v>Live-action</x:v>
      </x:c>
      <x:c r="O44" s="9" t="n">
        <x:v>10</x:v>
      </x:c>
      <x:c r="P44" s="9" t="str">
        <x:v>FMV adventure</x:v>
      </x:c>
      <x:c r="Q44" s="9" t="str">
        <x:v>Released</x:v>
      </x:c>
      <x:c r="R44" s="9" t="str">
        <x:v>1993 ICOM PC game</x:v>
      </x:c>
      <x:c r="S44" s="9" t="str">
        <x:v>PC, Mac</x:v>
      </x:c>
      <x:c r="T44" s="9" t="str">
        <x:v>Peter Farley (Holmes)</x:v>
      </x:c>
      <x:c r="U44" s="9" t="n">
        <x:v>1</x:v>
      </x:c>
      <x:c r="V44" s="9" t="str">
        <x:v>Yes</x:v>
      </x:c>
      <x:c r="W44" s="9" t="str">
        <x:v>Controller, Sega Mouse</x:v>
      </x:c>
      <x:c r="X44" s="9" t="str">
        <x:v>Low</x:v>
      </x:c>
      <x:c r="Y44" s="9"/>
      <x:c r="Z44" s="9" t="str">
        <x:v>3–5 hr (3 cases)</x:v>
      </x:c>
      <x:c r="AA44" s="9" t="str">
        <x:v>The volume America never got on Sega CD — English video, Japanese menus.</x:v>
      </x:c>
      <x:c r="AB44" s="9" t="str">
        <x:v>None.</x:v>
      </x:c>
      <x:c r="AC44" s="9" t="str">
        <x:v>Same engine.</x:v>
      </x:c>
      <x:c r="AD44" s="9" t="str">
        <x:v>Medium.</x:v>
      </x:c>
      <x:c r="AE44" s="9" t="str">
        <x:v>Per-case trial endings.</x:v>
      </x:c>
      <x:c r="AF44" s="9" t="str">
        <x:v>Cases: The Solicitous Solicitor, The Banker's Final Debt, The Thames Murders. Victor published in Japan only.</x:v>
      </x:c>
      <x:c r="AG44" s="9" t="str">
        <x:v>JP only.</x:v>
      </x:c>
      <x:c r="AH44" s="9" t="str">
        <x:v>No (this volume); no restored edition verified. The later restoration covers a different volume.</x:v>
      </x:c>
      <x:c r="AI44" s="9" t="str">
        <x:v>Import</x:v>
      </x:c>
      <x:c r="AJ44" s="9" t="str">
        <x:v>Original disc on the appropriate system or a compatible emulator; no restoration of this volume verified.</x:v>
      </x:c>
      <x:c r="AK44" s="9" t="str">
        <x:v>Japan only on Mega CD. English video with Japanese text/menus. PRICE: No PriceCharting listing; check eBay sold / Yahoo Japan Auctions.</x:v>
      </x:c>
      <x:c r="AL44" s="10"/>
      <x:c r="AM44" s="10"/>
      <x:c r="AN44" s="10"/>
      <x:c r="AO44" s="9"/>
      <x:c r="AP44" s="11" t="str">
        <x:f>HYPERLINK("https://www.pricecharting.com/search-products?q=Sherlock+Holmes%3A+Consulting+Detective+Vol.+III+sega+cd&amp;type=prices","PriceCharting")</x:f>
        <x:v>PriceCharting</x:v>
      </x:c>
      <x:c r="AQ44" s="9"/>
      <x:c r="AR44" s="9"/>
      <x:c r="AS44" s="9"/>
      <x:c r="AT44" s="9"/>
      <x:c r="AU44" s="9"/>
      <x:c r="AV44" s="9"/>
      <x:c r="AW44" s="9"/>
      <x:c r="AX44" s="9"/>
      <x:c r="AY44" s="9" t="str">
        <x:v>65%</x:v>
      </x:c>
      <x:c r="AZ44" s="9" t="str">
        <x:v>4.1</x:v>
      </x:c>
      <x:c r="BA44" s="11" t="str">
        <x:f>HYPERLINK("https://www.mobygames.com/game/22096/","MobyGames")</x:f>
        <x:v>MobyGames</x:v>
      </x:c>
      <x:c r="BB44" s="9"/>
      <x:c r="BC44" s="9"/>
      <x:c r="BD44" s="9"/>
      <x:c r="BE44" s="11" t="str">
        <x:f>HYPERLINK("https://en.wikipedia.org/wiki/Sherlock_Holmes:_Consulting_Detective_Vol._III","Wikipedia")</x:f>
        <x:v>Wikipedia</x:v>
      </x:c>
      <x:c r="BF44" s="11" t="str">
        <x:f>HYPERLINK("https://backloggd.com/search/games/Sherlock%20Holmes%3A%20Consulting%20Detective%20Vol.%20III/","Backloggd")</x:f>
        <x:v>Backloggd</x:v>
      </x:c>
      <x:c r="BG44" s="11" t="str">
        <x:f>HYPERLINK("https://segaretro.org/index.php?search=Sherlock+Holmes%3A+Consulting+Detective+Vol.+III","Sega Retro")</x:f>
        <x:v>Sega Retro</x:v>
      </x:c>
      <x:c r="BH44" s="9"/>
      <x:c r="BI44" s="12" t="str">
        <x:v>No</x:v>
      </x:c>
      <x:c r="BJ44" s="12" t="str"/>
      <x:c r="BK44" s="12" t="str">
        <x:v>No</x:v>
      </x:c>
      <x:c r="BL44" s="12" t="str"/>
      <x:c r="BM44" s="12" t="str"/>
      <x:c r="BN44" s="12" t="str"/>
      <x:c r="BO44" s="12" t="str"/>
      <x:c r="BP44" s="12" t="str"/>
      <x:c r="BQ44" s="12" t="str"/>
    </x:row>
    <x:row r="45">
      <x:c r="A45" s="9" t="str">
        <x:v>segacd-44</x:v>
      </x:c>
      <x:c r="B45" s="9" t="str">
        <x:v>dracula-unleashed</x:v>
      </x:c>
      <x:c r="C45" s="9" t="str">
        <x:v>Sega CD</x:v>
      </x:c>
      <x:c r="D45" s="9" t="str">
        <x:v>Dracula Unleashed</x:v>
      </x:c>
      <x:c r="E45" s="9"/>
      <x:c r="F45" s="9" t="str">
        <x:v>ICOM Simulations</x:v>
      </x:c>
      <x:c r="G45" s="9" t="str">
        <x:v>Sega</x:v>
      </x:c>
      <x:c r="H45" s="9" t="n">
        <x:v>1993</x:v>
      </x:c>
      <x:c r="I45" s="9" t="str">
        <x:v>Yes</x:v>
      </x:c>
      <x:c r="J45" s="9" t="str">
        <x:v>No</x:v>
      </x:c>
      <x:c r="K45" s="9" t="str">
        <x:v>No</x:v>
      </x:c>
      <x:c r="L45" s="9" t="str">
        <x:v>No</x:v>
      </x:c>
      <x:c r="M45" s="9" t="str">
        <x:v>Mystery adventure</x:v>
      </x:c>
      <x:c r="N45" s="9" t="str">
        <x:v>Live-action</x:v>
      </x:c>
      <x:c r="O45" s="9" t="n">
        <x:v>10</x:v>
      </x:c>
      <x:c r="P45" s="9" t="str">
        <x:v>FMV adventure</x:v>
      </x:c>
      <x:c r="Q45" s="9" t="str">
        <x:v>Released</x:v>
      </x:c>
      <x:c r="R45" s="9" t="str">
        <x:v>Original (Viacom New Media)</x:v>
      </x:c>
      <x:c r="S45" s="9" t="str">
        <x:v>PC, Mac, 3DO</x:v>
      </x:c>
      <x:c r="T45" s="9" t="str">
        <x:v>—</x:v>
      </x:c>
      <x:c r="U45" s="9" t="n">
        <x:v>2</x:v>
      </x:c>
      <x:c r="V45" s="9" t="str">
        <x:v>Yes</x:v>
      </x:c>
      <x:c r="W45" s="9" t="str">
        <x:v>Controller, Sega Mouse</x:v>
      </x:c>
      <x:c r="X45" s="9" t="str">
        <x:v>Low</x:v>
      </x:c>
      <x:c r="Y45" s="9"/>
      <x:c r="Z45" s="9" t="str">
        <x:v>3–5 hr</x:v>
      </x:c>
      <x:c r="AA45" s="9" t="str">
        <x:v>A sequel to the Dracula novel, played as a timetable puzzle through Victorian London, with a gloriously hammy cast.</x:v>
      </x:c>
      <x:c r="AB45" s="9" t="str">
        <x:v>None; time management is the puzzle.</x:v>
      </x:c>
      <x:c r="AC45" s="9" t="str">
        <x:v>Small-to-medium window, ~10 fps; lots of darkly lit footage that compresses poorly.</x:v>
      </x:c>
      <x:c r="AD45" s="9" t="str">
        <x:v>Hard — a strict timetable; being in the wrong place at the wrong time kills you.</x:v>
      </x:c>
      <x:c r="AE45" s="9" t="str">
        <x:v>Single success ending; many death endings.</x:v>
      </x:c>
      <x:c r="AF45" s="9" t="str">
        <x:v>ICOM's follow-up to Sherlock Holmes; shot in Chicago. The 3DO version is clearer; the Sega CD version came first.</x:v>
      </x:c>
      <x:c r="AG45" s="9" t="str">
        <x:v>US 2-disc.</x:v>
      </x:c>
      <x:c r="AH45" s="9" t="str">
        <x:v>No</x:v>
      </x:c>
      <x:c r="AI45" s="9" t="str">
        <x:v>Easy</x:v>
      </x:c>
      <x:c r="AJ45" s="9"/>
      <x:c r="AK45" s="9" t="str">
        <x:v>Sequel-in-spirit to Stoker's novel; travel London, trigger video scenes. 2-disc set.</x:v>
      </x:c>
      <x:c r="AL45" s="10" t="n">
        <x:v>11.71</x:v>
      </x:c>
      <x:c r="AM45" s="10" t="n">
        <x:v>24.47</x:v>
      </x:c>
      <x:c r="AN45" s="10" t="n">
        <x:v>78.21</x:v>
      </x:c>
      <x:c r="AO45" s="9" t="str">
        <x:v>2026-10-20</x:v>
      </x:c>
      <x:c r="AP45" s="11" t="str">
        <x:f>HYPERLINK("https://www.pricecharting.com/search-products?q=Dracula+Unleashed+sega+cd&amp;type=prices","PriceCharting")</x:f>
        <x:v>PriceCharting</x:v>
      </x:c>
      <x:c r="AQ45" s="9"/>
      <x:c r="AR45" s="9"/>
      <x:c r="AS45" s="9"/>
      <x:c r="AT45" s="9"/>
      <x:c r="AU45" s="9"/>
      <x:c r="AV45" s="9"/>
      <x:c r="AW45" s="9" t="str">
        <x:v>6/10</x:v>
      </x:c>
      <x:c r="AX45" s="9" t="str">
        <x:f>HYPERLINK("https://www.sega-16.com/2007/05/dracula-unleashed/","Sega-16")</x:f>
        <x:v>Sega-16</x:v>
      </x:c>
      <x:c r="AY45" s="9" t="str">
        <x:v>67%</x:v>
      </x:c>
      <x:c r="AZ45" s="9" t="str">
        <x:v>3.5</x:v>
      </x:c>
      <x:c r="BA45" s="11" t="str">
        <x:f>HYPERLINK("https://www.mobygames.com/game/460/","MobyGames")</x:f>
        <x:v>MobyGames</x:v>
      </x:c>
      <x:c r="BB45" s="9"/>
      <x:c r="BC45" s="9"/>
      <x:c r="BD45" s="9"/>
      <x:c r="BE45" s="11" t="str">
        <x:f>HYPERLINK("https://en.wikipedia.org/wiki/Dracula_Unleashed","Wikipedia")</x:f>
        <x:v>Wikipedia</x:v>
      </x:c>
      <x:c r="BF45" s="11" t="str">
        <x:f>HYPERLINK("https://backloggd.com/search/games/Dracula%20Unleashed/","Backloggd")</x:f>
        <x:v>Backloggd</x:v>
      </x:c>
      <x:c r="BG45" s="11" t="str">
        <x:f>HYPERLINK("https://segaretro.org/index.php?search=Dracula+Unleashed","Sega Retro")</x:f>
        <x:v>Sega Retro</x:v>
      </x:c>
      <x:c r="BH45" s="9"/>
      <x:c r="BI45" s="12" t="str">
        <x:v>No</x:v>
      </x:c>
      <x:c r="BJ45" s="12" t="str"/>
      <x:c r="BK45" s="12" t="str">
        <x:v>No</x:v>
      </x:c>
      <x:c r="BL45" s="12" t="str"/>
      <x:c r="BM45" s="12" t="str"/>
      <x:c r="BN45" s="12" t="str"/>
      <x:c r="BO45" s="12" t="str"/>
      <x:c r="BP45" s="12" t="str"/>
      <x:c r="BQ45" s="12" t="str"/>
    </x:row>
    <x:row r="46">
      <x:c r="A46" s="9" t="str">
        <x:v>segacd-45</x:v>
      </x:c>
      <x:c r="B46" s="9" t="str">
        <x:v>the-lawnmower-man</x:v>
      </x:c>
      <x:c r="C46" s="9" t="str">
        <x:v>Sega CD</x:v>
      </x:c>
      <x:c r="D46" s="9" t="str">
        <x:v>The Lawnmower Man</x:v>
      </x:c>
      <x:c r="E46" s="9"/>
      <x:c r="F46" s="9" t="str">
        <x:v>The Sales Curve</x:v>
      </x:c>
      <x:c r="G46" s="9" t="str">
        <x:v>Time Warner Interactive</x:v>
      </x:c>
      <x:c r="H46" s="9" t="n">
        <x:v>1994</x:v>
      </x:c>
      <x:c r="I46" s="9" t="str">
        <x:v>Yes</x:v>
      </x:c>
      <x:c r="J46" s="9" t="str">
        <x:v>No</x:v>
      </x:c>
      <x:c r="K46" s="9" t="str">
        <x:v>Yes</x:v>
      </x:c>
      <x:c r="L46" s="9" t="str">
        <x:v>No</x:v>
      </x:c>
      <x:c r="M46" s="9" t="str">
        <x:v>Platformer / FMV minigames</x:v>
      </x:c>
      <x:c r="N46" s="9" t="str">
        <x:v>Live-action + pre-rendered CG</x:v>
      </x:c>
      <x:c r="O46" s="9" t="n">
        <x:v>5</x:v>
      </x:c>
      <x:c r="P46" s="9" t="str">
        <x:v>FMV adventure</x:v>
      </x:c>
      <x:c r="Q46" s="9" t="str">
        <x:v>Released</x:v>
      </x:c>
      <x:c r="R46" s="9" t="str">
        <x:v>1992 film license</x:v>
      </x:c>
      <x:c r="S46" s="9" t="str">
        <x:v>PC/Mac CD, 3DO (CD versions share FMV); SNES/Genesis carts differ</x:v>
      </x:c>
      <x:c r="T46" s="9" t="str">
        <x:v>Jeff Fahey, Pierce Brosnan (clips)</x:v>
      </x:c>
      <x:c r="U46" s="9" t="n">
        <x:v>1</x:v>
      </x:c>
      <x:c r="V46" s="9" t="str">
        <x:v>No (passwords)</x:v>
      </x:c>
      <x:c r="W46" s="9" t="str">
        <x:v>Controller</x:v>
      </x:c>
      <x:c r="X46" s="9" t="str">
        <x:v>Med</x:v>
      </x:c>
      <x:c r="Y46" s="9" t="str">
        <x:v>1992 film footage</x:v>
      </x:c>
      <x:c r="Z46" s="9" t="str">
        <x:v>1–2 hr</x:v>
      </x:c>
      <x:c r="AA46" s="9" t="str">
        <x:v>A game about a movie about VR, played on a console that could barely show video — and it's one of the most expensive discs now.</x:v>
      </x:c>
      <x:c r="AB46" s="9" t="str">
        <x:v>Password system; stage passwords documented (verify).</x:v>
      </x:c>
      <x:c r="AC46" s="9" t="str">
        <x:v>FMV/CG stages are full-screen ~12 fps; platform stages are sprites.</x:v>
      </x:c>
      <x:c r="AD46" s="9" t="str">
        <x:v>Hard — platform stages are cheap, cyberspace stages are trial and error.</x:v>
      </x:c>
      <x:c r="AE46" s="9" t="str">
        <x:v>Single ending.</x:v>
      </x:c>
      <x:c r="AF46" s="9" t="str">
        <x:v>Sales Curve's CD build shares its FMV with the PC/3DO versions; the SNES/Genesis carts are a different game. Pierce Brosnan appears in clips.</x:v>
      </x:c>
      <x:c r="AG46" s="9" t="str">
        <x:v>US, PAL.</x:v>
      </x:c>
      <x:c r="AH46" s="9" t="str">
        <x:v>No</x:v>
      </x:c>
      <x:c r="AI46" s="9" t="str">
        <x:v>Easy</x:v>
      </x:c>
      <x:c r="AJ46" s="9"/>
      <x:c r="AK46" s="9" t="str">
        <x:v>Mix of side-scrolling platform stages and FMV/CG 'cyberspace' sequences using film footage.</x:v>
      </x:c>
      <x:c r="AL46" s="10" t="n">
        <x:v>79.4</x:v>
      </x:c>
      <x:c r="AM46" s="10" t="n">
        <x:v>160.36</x:v>
      </x:c>
      <x:c r="AN46" s="10" t="n">
        <x:v>289</x:v>
      </x:c>
      <x:c r="AO46" s="9" t="str">
        <x:v>2026-10-20</x:v>
      </x:c>
      <x:c r="AP46" s="11" t="str">
        <x:f>HYPERLINK("https://www.pricecharting.com/search-products?q=The+Lawnmower+Man+sega+cd&amp;type=prices","PriceCharting")</x:f>
        <x:v>PriceCharting</x:v>
      </x:c>
      <x:c r="AQ46" s="9"/>
      <x:c r="AR46" s="9"/>
      <x:c r="AS46" s="9"/>
      <x:c r="AT46" s="9"/>
      <x:c r="AU46" s="9"/>
      <x:c r="AV46" s="9"/>
      <x:c r="AW46" s="9"/>
      <x:c r="AX46" s="9"/>
      <x:c r="AY46" s="9" t="str">
        <x:v>37%</x:v>
      </x:c>
      <x:c r="AZ46" s="9" t="str">
        <x:v>2.4</x:v>
      </x:c>
      <x:c r="BA46" s="11" t="str">
        <x:f>HYPERLINK("https://www.mobygames.com/game/lawnmower-man/mobyrank","MobyGames")</x:f>
        <x:v>MobyGames</x:v>
      </x:c>
      <x:c r="BB46" s="9" t="str">
        <x:v>33%</x:v>
      </x:c>
      <x:c r="BC46" s="9" t="str">
        <x:v>average of 2 reviews on Wikipedia (MF, MMS)</x:v>
      </x:c>
      <x:c r="BD46" s="9" t="str">
        <x:f>HYPERLINK("https://en.wikipedia.org/wiki/The_Lawnmower_Man_%28video_game%29","Source")</x:f>
        <x:v>Source</x:v>
      </x:c>
      <x:c r="BE46" s="11" t="str">
        <x:f>HYPERLINK("https://en.wikipedia.org/wiki/The_Lawnmower_Man_(video_game)","Wikipedia")</x:f>
        <x:v>Wikipedia</x:v>
      </x:c>
      <x:c r="BF46" s="11" t="str">
        <x:f>HYPERLINK("https://backloggd.com/search/games/The%20Lawnmower%20Man/","Backloggd")</x:f>
        <x:v>Backloggd</x:v>
      </x:c>
      <x:c r="BG46" s="11" t="str">
        <x:f>HYPERLINK("https://segaretro.org/index.php?search=The+Lawnmower+Man","Sega Retro")</x:f>
        <x:v>Sega Retro</x:v>
      </x:c>
      <x:c r="BH46" s="9"/>
      <x:c r="BI46" s="12" t="str">
        <x:v>No</x:v>
      </x:c>
      <x:c r="BJ46" s="12" t="str"/>
      <x:c r="BK46" s="12" t="str">
        <x:v>No</x:v>
      </x:c>
      <x:c r="BL46" s="12" t="str"/>
      <x:c r="BM46" s="12" t="str"/>
      <x:c r="BN46" s="12" t="str"/>
      <x:c r="BO46" s="12" t="str"/>
      <x:c r="BP46" s="12" t="str"/>
      <x:c r="BQ46" s="12" t="str"/>
    </x:row>
    <x:row r="47">
      <x:c r="A47" s="9" t="str">
        <x:v>segacd-46</x:v>
      </x:c>
      <x:c r="B47" s="9" t="str">
        <x:v>dune</x:v>
      </x:c>
      <x:c r="C47" s="9" t="str">
        <x:v>Sega CD</x:v>
      </x:c>
      <x:c r="D47" s="9" t="str">
        <x:v>Dune</x:v>
      </x:c>
      <x:c r="E47" s="9"/>
      <x:c r="F47" s="9" t="str">
        <x:v>Cryo Interactive</x:v>
      </x:c>
      <x:c r="G47" s="9" t="str">
        <x:v>Virgin Games</x:v>
      </x:c>
      <x:c r="H47" s="9" t="n">
        <x:v>1993</x:v>
      </x:c>
      <x:c r="I47" s="9" t="str">
        <x:v>Yes</x:v>
      </x:c>
      <x:c r="J47" s="9" t="str">
        <x:v>No</x:v>
      </x:c>
      <x:c r="K47" s="9" t="str">
        <x:v>Yes</x:v>
      </x:c>
      <x:c r="L47" s="9" t="str">
        <x:v>No</x:v>
      </x:c>
      <x:c r="M47" s="9" t="str">
        <x:v>Adventure / strategy</x:v>
      </x:c>
      <x:c r="N47" s="9" t="str">
        <x:v>Live-action</x:v>
      </x:c>
      <x:c r="O47" s="9" t="n">
        <x:v>3</x:v>
      </x:c>
      <x:c r="P47" s="9" t="str">
        <x:v>FMV adventure</x:v>
      </x:c>
      <x:c r="Q47" s="9" t="str">
        <x:v>Released</x:v>
      </x:c>
      <x:c r="R47" s="9" t="str">
        <x:v>1984 film / 1992 Cryo PC game</x:v>
      </x:c>
      <x:c r="S47" s="9" t="str">
        <x:v>PC, Amiga, CD-i</x:v>
      </x:c>
      <x:c r="T47" s="9" t="str">
        <x:v>Kyle MacLachlan, Sting (clips)</x:v>
      </x:c>
      <x:c r="U47" s="9" t="n">
        <x:v>1</x:v>
      </x:c>
      <x:c r="V47" s="9" t="str">
        <x:v>Yes</x:v>
      </x:c>
      <x:c r="W47" s="9" t="str">
        <x:v>Controller</x:v>
      </x:c>
      <x:c r="X47" s="9" t="str">
        <x:v>Med–High</x:v>
      </x:c>
      <x:c r="Y47" s="9" t="str">
        <x:v>Lynch film clips, Toto score</x:v>
      </x:c>
      <x:c r="Z47" s="9" t="str">
        <x:v>4–6 hr</x:v>
      </x:c>
      <x:c r="AA47" s="9" t="str">
        <x:v>Cryo's Dune with David Lynch's movie cut into it — the only way to play the 1992 game with Kyle MacLachlan talking to you.</x:v>
      </x:c>
      <x:c r="AB47" s="9" t="str">
        <x:v>None; saves to backup RAM.</x:v>
      </x:c>
      <x:c r="AC47" s="9" t="str">
        <x:v>Film clips in a small window, ~10 fps; in-game art is hand-drawn.</x:v>
      </x:c>
      <x:c r="AD47" s="9" t="str">
        <x:v>Medium — a slow strategy game; losing is hard once you learn spice management.</x:v>
      </x:c>
      <x:c r="AE47" s="9" t="str">
        <x:v>Single ending; game over if Harkonnens take Arrakis.</x:v>
      </x:c>
      <x:c r="AF47" s="9" t="str">
        <x:v>Virgin added the film clips for the CD versions; the Sega CD version also adds a CD soundtrack (Stéphane Picq's 'Spice Opera' partly).</x:v>
      </x:c>
      <x:c r="AG47" s="9" t="str">
        <x:v>US, PAL.</x:v>
      </x:c>
      <x:c r="AH47" s="9" t="str">
        <x:v>Yes (PC version on GOG, without film clips in some releases)</x:v>
      </x:c>
      <x:c r="AI47" s="9" t="str">
        <x:v>Easy</x:v>
      </x:c>
      <x:c r="AJ47" s="9"/>
      <x:c r="AK47" s="9" t="str">
        <x:v>Sega CD version adds extensive clips from the 1984 Lynch film to the PC adventure game.</x:v>
      </x:c>
      <x:c r="AL47" s="10" t="n">
        <x:v>34</x:v>
      </x:c>
      <x:c r="AM47" s="10" t="n">
        <x:v>89.95</x:v>
      </x:c>
      <x:c r="AN47" s="10" t="n">
        <x:v>161.1</x:v>
      </x:c>
      <x:c r="AO47" s="9" t="str">
        <x:v>2026-10-20</x:v>
      </x:c>
      <x:c r="AP47" s="11" t="str">
        <x:f>HYPERLINK("https://www.pricecharting.com/search-products?q=Dune+sega+cd&amp;type=prices","PriceCharting")</x:f>
        <x:v>PriceCharting</x:v>
      </x:c>
      <x:c r="AQ47" s="9"/>
      <x:c r="AR47" s="9"/>
      <x:c r="AS47" s="9"/>
      <x:c r="AT47" s="9"/>
      <x:c r="AU47" s="9"/>
      <x:c r="AV47" s="9"/>
      <x:c r="AW47" s="9" t="str">
        <x:v>6/10</x:v>
      </x:c>
      <x:c r="AX47" s="9" t="str">
        <x:f>HYPERLINK("https://www.sega-16.com/2011/10/dune/","Sega-16")</x:f>
        <x:v>Sega-16</x:v>
      </x:c>
      <x:c r="AY47" s="9" t="str">
        <x:v>78%</x:v>
      </x:c>
      <x:c r="AZ47" s="9" t="str">
        <x:v>4.0</x:v>
      </x:c>
      <x:c r="BA47" s="11" t="str">
        <x:f>HYPERLINK("https://www.mobygames.com/game/380/dune/","MobyGames")</x:f>
        <x:v>MobyGames</x:v>
      </x:c>
      <x:c r="BB47" s="9"/>
      <x:c r="BC47" s="9"/>
      <x:c r="BD47" s="9"/>
      <x:c r="BE47" s="11" t="str">
        <x:f>HYPERLINK("https://en.wikipedia.org/wiki/Dune_(video_game)","Wikipedia")</x:f>
        <x:v>Wikipedia</x:v>
      </x:c>
      <x:c r="BF47" s="11" t="str">
        <x:f>HYPERLINK("https://backloggd.com/search/games/Dune/","Backloggd")</x:f>
        <x:v>Backloggd</x:v>
      </x:c>
      <x:c r="BG47" s="11" t="str">
        <x:f>HYPERLINK("https://segaretro.org/index.php?search=Dune","Sega Retro")</x:f>
        <x:v>Sega Retro</x:v>
      </x:c>
      <x:c r="BH47" s="9"/>
      <x:c r="BI47" s="12" t="str">
        <x:v>No</x:v>
      </x:c>
      <x:c r="BJ47" s="12" t="str"/>
      <x:c r="BK47" s="12" t="str">
        <x:v>No</x:v>
      </x:c>
      <x:c r="BL47" s="12" t="str"/>
      <x:c r="BM47" s="12" t="str"/>
      <x:c r="BN47" s="12" t="str"/>
      <x:c r="BO47" s="12" t="str"/>
      <x:c r="BP47" s="12" t="str"/>
      <x:c r="BQ47" s="12" t="str"/>
    </x:row>
    <x:row r="48">
      <x:c r="A48" s="9" t="str">
        <x:v>segacd-47</x:v>
      </x:c>
      <x:c r="B48" s="9" t="str">
        <x:v>wheel-of-fortune-sega-cd</x:v>
      </x:c>
      <x:c r="C48" s="9" t="str">
        <x:v>Sega CD</x:v>
      </x:c>
      <x:c r="D48" s="9" t="str">
        <x:v>Wheel of Fortune</x:v>
      </x:c>
      <x:c r="E48" s="9"/>
      <x:c r="F48" s="9" t="str">
        <x:v>Sony Imagesoft</x:v>
      </x:c>
      <x:c r="G48" s="9" t="str">
        <x:v>Sony Imagesoft</x:v>
      </x:c>
      <x:c r="H48" s="9" t="n">
        <x:v>1994</x:v>
      </x:c>
      <x:c r="I48" s="9" t="str">
        <x:v>Yes</x:v>
      </x:c>
      <x:c r="J48" s="9" t="str">
        <x:v>No</x:v>
      </x:c>
      <x:c r="K48" s="9" t="str">
        <x:v>No</x:v>
      </x:c>
      <x:c r="L48" s="9" t="str">
        <x:v>No</x:v>
      </x:c>
      <x:c r="M48" s="9" t="str">
        <x:v>Game show</x:v>
      </x:c>
      <x:c r="N48" s="9" t="str">
        <x:v>Live-action</x:v>
      </x:c>
      <x:c r="O48" s="9" t="n">
        <x:v>6</x:v>
      </x:c>
      <x:c r="P48" s="9" t="str">
        <x:v>Game show / trivia</x:v>
      </x:c>
      <x:c r="Q48" s="9" t="str">
        <x:v>Released</x:v>
      </x:c>
      <x:c r="R48" s="9" t="str">
        <x:v>TV game show</x:v>
      </x:c>
      <x:c r="S48" s="9" t="str">
        <x:v>Sega CD version is unique; cart versions have no FMV</x:v>
      </x:c>
      <x:c r="T48" s="9" t="str">
        <x:v>Vanna White</x:v>
      </x:c>
      <x:c r="U48" s="9" t="n">
        <x:v>1</x:v>
      </x:c>
      <x:c r="V48" s="9" t="str">
        <x:v>No</x:v>
      </x:c>
      <x:c r="W48" s="9" t="str">
        <x:v>Controller</x:v>
      </x:c>
      <x:c r="X48" s="9" t="str">
        <x:v>Med</x:v>
      </x:c>
      <x:c r="Y48" s="9" t="str">
        <x:v>Show theme &amp; footage</x:v>
      </x:c>
      <x:c r="Z48" s="9" t="str">
        <x:v>20 min per game</x:v>
      </x:c>
      <x:c r="AA48" s="9" t="str">
        <x:v>Vanna White on Sega CD, turning letters in 64 colours.</x:v>
      </x:c>
      <x:c r="AB48" s="9" t="str">
        <x:v>None.</x:v>
      </x:c>
      <x:c r="AC48" s="9" t="str">
        <x:v>Vanna clips in a window, ~10 fps; board is standard graphics.</x:v>
      </x:c>
      <x:c r="AD48" s="9" t="str">
        <x:v>Easy.</x:v>
      </x:c>
      <x:c r="AE48" s="9" t="str">
        <x:v>None; game-show rounds.</x:v>
      </x:c>
      <x:c r="AF48" s="9" t="str">
        <x:v>Sony Imagesoft's game-show line (with Jeopardy!) added FMV only on Sega CD.</x:v>
      </x:c>
      <x:c r="AG48" s="9" t="str">
        <x:v>US only.</x:v>
      </x:c>
      <x:c r="AH48" s="9" t="str">
        <x:v>No</x:v>
      </x:c>
      <x:c r="AI48" s="9" t="str">
        <x:v>Easy</x:v>
      </x:c>
      <x:c r="AJ48" s="9"/>
      <x:c r="AK48" s="9" t="str">
        <x:v>FMV Vanna White; puzzle board is standard graphics.</x:v>
      </x:c>
      <x:c r="AL48" s="10" t="n">
        <x:v>12.49</x:v>
      </x:c>
      <x:c r="AM48" s="10" t="n">
        <x:v>22.45</x:v>
      </x:c>
      <x:c r="AN48" s="10" t="n">
        <x:v>61.02</x:v>
      </x:c>
      <x:c r="AO48" s="9" t="str">
        <x:v>2026-10-20</x:v>
      </x:c>
      <x:c r="AP48" s="11" t="str">
        <x:f>HYPERLINK("https://www.pricecharting.com/search-products?q=Wheel+of+Fortune+sega+cd&amp;type=prices","PriceCharting")</x:f>
        <x:v>PriceCharting</x:v>
      </x:c>
      <x:c r="AQ48" s="9"/>
      <x:c r="AR48" s="9"/>
      <x:c r="AS48" s="9"/>
      <x:c r="AT48" s="9"/>
      <x:c r="AU48" s="9"/>
      <x:c r="AV48" s="9"/>
      <x:c r="AW48" s="9" t="str">
        <x:v>1/10</x:v>
      </x:c>
      <x:c r="AX48" s="9" t="str">
        <x:f>HYPERLINK("https://www.sega-16.com/2011/02/wheel-of-fortune/","Sega-16")</x:f>
        <x:v>Sega-16</x:v>
      </x:c>
      <x:c r="AY48" s="9" t="str">
        <x:v>39%</x:v>
      </x:c>
      <x:c r="AZ48" s="9" t="str">
        <x:v>3.2</x:v>
      </x:c>
      <x:c r="BA48" s="11" t="str">
        <x:f>HYPERLINK("https://www.mobygames.com/game/34472/wheel-of-fortune/","MobyGames")</x:f>
        <x:v>MobyGames</x:v>
      </x:c>
      <x:c r="BB48" s="9"/>
      <x:c r="BC48" s="9"/>
      <x:c r="BD48" s="9"/>
      <x:c r="BE48" s="11" t="str">
        <x:f>HYPERLINK("https://en.wikipedia.org/wiki/Wheel_of_Fortune_video_games","Wikipedia")</x:f>
        <x:v>Wikipedia</x:v>
      </x:c>
      <x:c r="BF48" s="11" t="str">
        <x:f>HYPERLINK("https://backloggd.com/search/games/Wheel%20of%20Fortune/","Backloggd")</x:f>
        <x:v>Backloggd</x:v>
      </x:c>
      <x:c r="BG48" s="11" t="str">
        <x:f>HYPERLINK("https://segaretro.org/index.php?search=Wheel+of+Fortune","Sega Retro")</x:f>
        <x:v>Sega Retro</x:v>
      </x:c>
      <x:c r="BH48" s="9"/>
      <x:c r="BI48" s="12" t="str">
        <x:v>No</x:v>
      </x:c>
      <x:c r="BJ48" s="12" t="str"/>
      <x:c r="BK48" s="12" t="str">
        <x:v>No</x:v>
      </x:c>
      <x:c r="BL48" s="12" t="str"/>
      <x:c r="BM48" s="12" t="str"/>
      <x:c r="BN48" s="12" t="str"/>
      <x:c r="BO48" s="12" t="str"/>
      <x:c r="BP48" s="12" t="str"/>
      <x:c r="BQ48" s="12" t="str"/>
    </x:row>
    <x:row r="49">
      <x:c r="A49" s="9" t="str">
        <x:v>segacd-48</x:v>
      </x:c>
      <x:c r="B49" s="9" t="str">
        <x:v>jeopardy-sega-cd</x:v>
      </x:c>
      <x:c r="C49" s="9" t="str">
        <x:v>Sega CD</x:v>
      </x:c>
      <x:c r="D49" s="9" t="str">
        <x:v>Jeopardy!</x:v>
      </x:c>
      <x:c r="E49" s="9"/>
      <x:c r="F49" s="9" t="str">
        <x:v>Sony Imagesoft</x:v>
      </x:c>
      <x:c r="G49" s="9" t="str">
        <x:v>Sony Imagesoft</x:v>
      </x:c>
      <x:c r="H49" s="9" t="n">
        <x:v>1994</x:v>
      </x:c>
      <x:c r="I49" s="9" t="str">
        <x:v>Yes</x:v>
      </x:c>
      <x:c r="J49" s="9" t="str">
        <x:v>No</x:v>
      </x:c>
      <x:c r="K49" s="9" t="str">
        <x:v>No</x:v>
      </x:c>
      <x:c r="L49" s="9" t="str">
        <x:v>No</x:v>
      </x:c>
      <x:c r="M49" s="9" t="str">
        <x:v>Game show</x:v>
      </x:c>
      <x:c r="N49" s="9" t="str">
        <x:v>Live-action</x:v>
      </x:c>
      <x:c r="O49" s="9" t="n">
        <x:v>4</x:v>
      </x:c>
      <x:c r="P49" s="9" t="str">
        <x:v>Game show / trivia</x:v>
      </x:c>
      <x:c r="Q49" s="9" t="str">
        <x:v>Released</x:v>
      </x:c>
      <x:c r="R49" s="9" t="str">
        <x:v>TV game show</x:v>
      </x:c>
      <x:c r="S49" s="9" t="str">
        <x:v>Sega CD version is unique; cart versions have no FMV</x:v>
      </x:c>
      <x:c r="T49" s="9" t="str">
        <x:v>Alex Trebek</x:v>
      </x:c>
      <x:c r="U49" s="9" t="n">
        <x:v>1</x:v>
      </x:c>
      <x:c r="V49" s="9" t="str">
        <x:v>No</x:v>
      </x:c>
      <x:c r="W49" s="9" t="str">
        <x:v>Controller</x:v>
      </x:c>
      <x:c r="X49" s="9" t="str">
        <x:v>Med</x:v>
      </x:c>
      <x:c r="Y49" s="9" t="str">
        <x:v>Show theme &amp; footage</x:v>
      </x:c>
      <x:c r="Z49" s="9" t="str">
        <x:v>20 min per game</x:v>
      </x:c>
      <x:c r="AA49" s="9" t="str">
        <x:v>Alex Trebek on Sega CD — the cheapest FMV game on the system and still playable as a trivia night.</x:v>
      </x:c>
      <x:c r="AB49" s="9" t="str">
        <x:v>None.</x:v>
      </x:c>
      <x:c r="AC49" s="9" t="str">
        <x:v>Trebek clips in a small window; less video than Wheel.</x:v>
      </x:c>
      <x:c r="AD49" s="9" t="str">
        <x:v>Depends on you.</x:v>
      </x:c>
      <x:c r="AE49" s="9" t="str">
        <x:v>None.</x:v>
      </x:c>
      <x:c r="AF49" s="9" t="str">
        <x:v>Question database is early-90s era; expect dated categories.</x:v>
      </x:c>
      <x:c r="AG49" s="9" t="str">
        <x:v>US only.</x:v>
      </x:c>
      <x:c r="AH49" s="9" t="str">
        <x:v>No</x:v>
      </x:c>
      <x:c r="AI49" s="9" t="str">
        <x:v>Easy</x:v>
      </x:c>
      <x:c r="AJ49" s="9"/>
      <x:c r="AK49" s="9" t="str">
        <x:v>FMV Alex Trebek intros and reactions; less video than Wheel.</x:v>
      </x:c>
      <x:c r="AL49" s="10" t="n">
        <x:v>7.37</x:v>
      </x:c>
      <x:c r="AM49" s="10" t="n">
        <x:v>15.67</x:v>
      </x:c>
      <x:c r="AN49" s="10" t="n">
        <x:v>28</x:v>
      </x:c>
      <x:c r="AO49" s="9" t="str">
        <x:v>2026-10-20</x:v>
      </x:c>
      <x:c r="AP49" s="11" t="str">
        <x:f>HYPERLINK("https://www.pricecharting.com/search-products?q=Jeopardy%21+sega+cd&amp;type=prices","PriceCharting")</x:f>
        <x:v>PriceCharting</x:v>
      </x:c>
      <x:c r="AQ49" s="9"/>
      <x:c r="AR49" s="9"/>
      <x:c r="AS49" s="9"/>
      <x:c r="AT49" s="9"/>
      <x:c r="AU49" s="9"/>
      <x:c r="AV49" s="9"/>
      <x:c r="AW49" s="9" t="str">
        <x:v>6/10</x:v>
      </x:c>
      <x:c r="AX49" s="9" t="str">
        <x:f>HYPERLINK("https://www.sega-16.com/2008/02/jeopardy-cd/","Sega-16")</x:f>
        <x:v>Sega-16</x:v>
      </x:c>
      <x:c r="AY49" s="9" t="str">
        <x:v>63%</x:v>
      </x:c>
      <x:c r="AZ49" s="9" t="str">
        <x:v>3.0</x:v>
      </x:c>
      <x:c r="BA49" s="11" t="str">
        <x:f>HYPERLINK("https://www.mobygames.com/game/24262/jeopardy/","MobyGames")</x:f>
        <x:v>MobyGames</x:v>
      </x:c>
      <x:c r="BB49" s="9"/>
      <x:c r="BC49" s="9"/>
      <x:c r="BD49" s="9"/>
      <x:c r="BE49" s="9"/>
      <x:c r="BF49" s="11" t="str">
        <x:f>HYPERLINK("https://backloggd.com/search/games/Jeopardy%21/","Backloggd")</x:f>
        <x:v>Backloggd</x:v>
      </x:c>
      <x:c r="BG49" s="11" t="str">
        <x:f>HYPERLINK("https://segaretro.org/index.php?search=Jeopardy%21","Sega Retro")</x:f>
        <x:v>Sega Retro</x:v>
      </x:c>
      <x:c r="BH49" s="9"/>
      <x:c r="BI49" s="12" t="str">
        <x:v>No</x:v>
      </x:c>
      <x:c r="BJ49" s="12" t="str"/>
      <x:c r="BK49" s="12" t="str">
        <x:v>No</x:v>
      </x:c>
      <x:c r="BL49" s="12" t="str"/>
      <x:c r="BM49" s="12" t="str"/>
      <x:c r="BN49" s="12" t="str"/>
      <x:c r="BO49" s="12" t="str"/>
      <x:c r="BP49" s="12" t="str"/>
      <x:c r="BQ49" s="12" t="str"/>
    </x:row>
    <x:row r="50">
      <x:c r="A50" s="9" t="str">
        <x:v>segacd-49</x:v>
      </x:c>
      <x:c r="B50" s="9" t="str">
        <x:v>trivial-pursuit</x:v>
      </x:c>
      <x:c r="C50" s="9" t="str">
        <x:v>Sega CD</x:v>
      </x:c>
      <x:c r="D50" s="9" t="str">
        <x:v>Trivial Pursuit</x:v>
      </x:c>
      <x:c r="E50" s="9" t="str">
        <x:v>Trivial Pursuit Interactive Multimedia Game</x:v>
      </x:c>
      <x:c r="F50" s="9" t="str">
        <x:v>Western Technologies</x:v>
      </x:c>
      <x:c r="G50" s="9" t="str">
        <x:v>Virgin Interactive / Parker Brothers</x:v>
      </x:c>
      <x:c r="H50" s="9" t="n">
        <x:v>1995</x:v>
      </x:c>
      <x:c r="I50" s="9" t="str">
        <x:v>Yes</x:v>
      </x:c>
      <x:c r="J50" s="9" t="str">
        <x:v>No</x:v>
      </x:c>
      <x:c r="K50" s="9" t="str">
        <x:v>No</x:v>
      </x:c>
      <x:c r="L50" s="9" t="str">
        <x:v>No</x:v>
      </x:c>
      <x:c r="M50" s="9" t="str">
        <x:v>Trivia</x:v>
      </x:c>
      <x:c r="N50" s="9" t="str">
        <x:v>Live-action</x:v>
      </x:c>
      <x:c r="O50" s="9" t="n">
        <x:v>5</x:v>
      </x:c>
      <x:c r="P50" s="9" t="str">
        <x:v>Game show / trivia</x:v>
      </x:c>
      <x:c r="Q50" s="9" t="str">
        <x:v>Released</x:v>
      </x:c>
      <x:c r="R50" s="9" t="str">
        <x:v>Board game license</x:v>
      </x:c>
      <x:c r="S50" s="9" t="str">
        <x:v>PC, 3DO versions exist</x:v>
      </x:c>
      <x:c r="T50" s="9" t="str">
        <x:v>—</x:v>
      </x:c>
      <x:c r="U50" s="9" t="n">
        <x:v>1</x:v>
      </x:c>
      <x:c r="V50" s="9" t="str">
        <x:v>No</x:v>
      </x:c>
      <x:c r="W50" s="9" t="str">
        <x:v>Controller</x:v>
      </x:c>
      <x:c r="X50" s="9" t="str">
        <x:v>Med</x:v>
      </x:c>
      <x:c r="Y50" s="9" t="str">
        <x:v>Video clip questions</x:v>
      </x:c>
      <x:c r="Z50" s="9" t="str">
        <x:v>30 min per game</x:v>
      </x:c>
      <x:c r="AA50" s="9" t="str">
        <x:v>Trivial Pursuit with video questions, from the brief period when every board game got a 'multimedia' edition.</x:v>
      </x:c>
      <x:c r="AB50" s="9" t="str">
        <x:v>None.</x:v>
      </x:c>
      <x:c r="AC50" s="9" t="str">
        <x:v>Short video clips as questions; small window.</x:v>
      </x:c>
      <x:c r="AD50" s="9" t="str">
        <x:v>Depends on you.</x:v>
      </x:c>
      <x:c r="AE50" s="9" t="str">
        <x:v>None.</x:v>
      </x:c>
      <x:c r="AF50" s="9" t="str">
        <x:v>Western Technologies developed; one of the last third-party Sega CD releases in 1995.</x:v>
      </x:c>
      <x:c r="AG50" s="9" t="str">
        <x:v>US only.</x:v>
      </x:c>
      <x:c r="AH50" s="9" t="str">
        <x:v>No</x:v>
      </x:c>
      <x:c r="AI50" s="9" t="str">
        <x:v>Easy</x:v>
      </x:c>
      <x:c r="AJ50" s="9"/>
      <x:c r="AK50" s="9" t="str">
        <x:v>Some questions use video clips. Publisher attribution uncertain; verify on the box.</x:v>
      </x:c>
      <x:c r="AL50" s="10" t="n">
        <x:v>9.99</x:v>
      </x:c>
      <x:c r="AM50" s="10" t="n">
        <x:v>18.93</x:v>
      </x:c>
      <x:c r="AN50" s="10" t="n">
        <x:v>34</x:v>
      </x:c>
      <x:c r="AO50" s="9" t="str">
        <x:v>2026-10-20</x:v>
      </x:c>
      <x:c r="AP50" s="11" t="str">
        <x:f>HYPERLINK("https://www.pricecharting.com/search-products?q=Trivial+Pursuit+sega+cd&amp;type=prices","PriceCharting")</x:f>
        <x:v>PriceCharting</x:v>
      </x:c>
      <x:c r="AQ50" s="9"/>
      <x:c r="AR50" s="9"/>
      <x:c r="AS50" s="9"/>
      <x:c r="AT50" s="9"/>
      <x:c r="AU50" s="9"/>
      <x:c r="AV50" s="9"/>
      <x:c r="AW50" s="9"/>
      <x:c r="AX50" s="9"/>
      <x:c r="AY50" s="9"/>
      <x:c r="AZ50" s="9"/>
      <x:c r="BA50" s="11" t="str">
        <x:f>HYPERLINK("https://www.mobygames.com/game/sega-cd/trivial-pursuit-interactive-multimedia-game","MobyGames")</x:f>
        <x:v>MobyGames</x:v>
      </x:c>
      <x:c r="BB50" s="9"/>
      <x:c r="BC50" s="9"/>
      <x:c r="BD50" s="9"/>
      <x:c r="BE50" s="9"/>
      <x:c r="BF50" s="11" t="str">
        <x:f>HYPERLINK("https://backloggd.com/search/games/Trivial%20Pursuit/","Backloggd")</x:f>
        <x:v>Backloggd</x:v>
      </x:c>
      <x:c r="BG50" s="11" t="str">
        <x:f>HYPERLINK("https://segaretro.org/index.php?search=Trivial+Pursuit","Sega Retro")</x:f>
        <x:v>Sega Retro</x:v>
      </x:c>
      <x:c r="BH50" s="9"/>
      <x:c r="BI50" s="12" t="str">
        <x:v>No</x:v>
      </x:c>
      <x:c r="BJ50" s="12" t="str"/>
      <x:c r="BK50" s="12" t="str">
        <x:v>No</x:v>
      </x:c>
      <x:c r="BL50" s="12" t="str"/>
      <x:c r="BM50" s="12" t="str"/>
      <x:c r="BN50" s="12" t="str"/>
      <x:c r="BO50" s="12" t="str"/>
      <x:c r="BP50" s="12" t="str"/>
      <x:c r="BQ50" s="12" t="str"/>
    </x:row>
    <x:row r="51">
      <x:c r="A51" s="9" t="str">
        <x:v>segacd-50</x:v>
      </x:c>
      <x:c r="B51" s="9" t="str">
        <x:v>nfls-greatest-teams</x:v>
      </x:c>
      <x:c r="C51" s="9" t="str">
        <x:v>Sega CD</x:v>
      </x:c>
      <x:c r="D51" s="9" t="str">
        <x:v>NFL's Greatest Teams</x:v>
      </x:c>
      <x:c r="E51" s="9"/>
      <x:c r="F51" s="9" t="str">
        <x:v>Sega</x:v>
      </x:c>
      <x:c r="G51" s="9" t="str">
        <x:v>Sega</x:v>
      </x:c>
      <x:c r="H51" s="9" t="n">
        <x:v>1994</x:v>
      </x:c>
      <x:c r="I51" s="9" t="str">
        <x:v>Yes</x:v>
      </x:c>
      <x:c r="J51" s="9" t="str">
        <x:v>No</x:v>
      </x:c>
      <x:c r="K51" s="9" t="str">
        <x:v>No</x:v>
      </x:c>
      <x:c r="L51" s="9" t="str">
        <x:v>No</x:v>
      </x:c>
      <x:c r="M51" s="9" t="str">
        <x:v>American football</x:v>
      </x:c>
      <x:c r="N51" s="9" t="str">
        <x:v>Live-action</x:v>
      </x:c>
      <x:c r="O51" s="9" t="n">
        <x:v>3</x:v>
      </x:c>
      <x:c r="P51" s="9" t="str">
        <x:v>Sports w/ FMV</x:v>
      </x:c>
      <x:c r="Q51" s="9" t="str">
        <x:v>Released</x:v>
      </x:c>
      <x:c r="R51" s="9" t="str">
        <x:v>NFL license (Joe Montana engine)</x:v>
      </x:c>
      <x:c r="S51" s="9" t="str">
        <x:v>Sega CD only</x:v>
      </x:c>
      <x:c r="T51" s="9" t="str">
        <x:v>NFL Films narration</x:v>
      </x:c>
      <x:c r="U51" s="9" t="n">
        <x:v>1</x:v>
      </x:c>
      <x:c r="V51" s="9" t="str">
        <x:v>Unknown — verify</x:v>
      </x:c>
      <x:c r="W51" s="9" t="str">
        <x:v>Controller</x:v>
      </x:c>
      <x:c r="X51" s="9" t="str">
        <x:v>HIGH</x:v>
      </x:c>
      <x:c r="Y51" s="9" t="str">
        <x:v>NFL Films footage &amp; music</x:v>
      </x:c>
      <x:c r="Z51" s="9" t="str">
        <x:v>30 min+</x:v>
      </x:c>
      <x:c r="AA51" s="9" t="str">
        <x:v>Sega's football game built around NFL Films footage — the 'greatest teams' are the 60s-80s dynasties.</x:v>
      </x:c>
      <x:c r="AB51" s="9" t="str">
        <x:v>None.</x:v>
      </x:c>
      <x:c r="AC51" s="9" t="str">
        <x:v>NFL Films clips in a window between plays and in the intro.</x:v>
      </x:c>
      <x:c r="AD51" s="9" t="str">
        <x:v>Medium (Joe Montana engine).</x:v>
      </x:c>
      <x:c r="AE51" s="9" t="str">
        <x:v>None; play historical matchups.</x:v>
      </x:c>
      <x:c r="AF51" s="9" t="str">
        <x:v>Reuses the Joe Montana Sports Talk Football engine; one of the few sports games with real NFL Films licensing.</x:v>
      </x:c>
      <x:c r="AG51" s="9" t="str">
        <x:v>US only.</x:v>
      </x:c>
      <x:c r="AH51" s="9" t="str">
        <x:v>No</x:v>
      </x:c>
      <x:c r="AI51" s="9" t="str">
        <x:v>Easy</x:v>
      </x:c>
      <x:c r="AJ51" s="9"/>
      <x:c r="AK51" s="9" t="str">
        <x:v>Joe Montana engine with NFL Films footage and FMV commentary.</x:v>
      </x:c>
      <x:c r="AL51" s="10" t="n">
        <x:v>7.14</x:v>
      </x:c>
      <x:c r="AM51" s="10" t="n">
        <x:v>15.99</x:v>
      </x:c>
      <x:c r="AN51" s="10" t="n">
        <x:v>32.97</x:v>
      </x:c>
      <x:c r="AO51" s="9" t="str">
        <x:v>2026-10-20</x:v>
      </x:c>
      <x:c r="AP51" s="11" t="str">
        <x:f>HYPERLINK("https://www.pricecharting.com/search-products?q=NFL%27s+Greatest+Teams+sega+cd&amp;type=prices","PriceCharting")</x:f>
        <x:v>PriceCharting</x:v>
      </x:c>
      <x:c r="AQ51" s="9"/>
      <x:c r="AR51" s="9"/>
      <x:c r="AS51" s="9"/>
      <x:c r="AT51" s="9"/>
      <x:c r="AU51" s="9"/>
      <x:c r="AV51" s="9"/>
      <x:c r="AW51" s="9" t="str">
        <x:v>1/10</x:v>
      </x:c>
      <x:c r="AX51" s="9" t="str">
        <x:f>HYPERLINK("https://sega-16.com/?p=2303","Sega-16")</x:f>
        <x:v>Sega-16</x:v>
      </x:c>
      <x:c r="AY51" s="9" t="str">
        <x:v>32%</x:v>
      </x:c>
      <x:c r="AZ51" s="9" t="str">
        <x:v>2.0</x:v>
      </x:c>
      <x:c r="BA51" s="11" t="str">
        <x:f>HYPERLINK("https://www.mobygames.com/game/61290","MobyGames")</x:f>
        <x:v>MobyGames</x:v>
      </x:c>
      <x:c r="BB51" s="9"/>
      <x:c r="BC51" s="9"/>
      <x:c r="BD51" s="9"/>
      <x:c r="BE51" s="9"/>
      <x:c r="BF51" s="11" t="str">
        <x:f>HYPERLINK("https://backloggd.com/search/games/NFL%27s%20Greatest%20Teams/","Backloggd")</x:f>
        <x:v>Backloggd</x:v>
      </x:c>
      <x:c r="BG51" s="11" t="str">
        <x:f>HYPERLINK("https://segaretro.org/index.php?search=NFL%27s+Greatest+Teams","Sega Retro")</x:f>
        <x:v>Sega Retro</x:v>
      </x:c>
      <x:c r="BH51" s="9"/>
      <x:c r="BI51" s="12" t="str">
        <x:v>No</x:v>
      </x:c>
      <x:c r="BJ51" s="12" t="str"/>
      <x:c r="BK51" s="12" t="str">
        <x:v>No</x:v>
      </x:c>
      <x:c r="BL51" s="12" t="str"/>
      <x:c r="BM51" s="12" t="str"/>
      <x:c r="BN51" s="12" t="str"/>
      <x:c r="BO51" s="12" t="str"/>
      <x:c r="BP51" s="12" t="str"/>
      <x:c r="BQ51" s="12" t="str"/>
    </x:row>
    <x:row r="52">
      <x:c r="A52" s="9" t="str">
        <x:v>segacd-51</x:v>
      </x:c>
      <x:c r="B52" s="9" t="str">
        <x:v>espn-baseball-tonight</x:v>
      </x:c>
      <x:c r="C52" s="9" t="str">
        <x:v>Sega CD</x:v>
      </x:c>
      <x:c r="D52" s="9" t="str">
        <x:v>ESPN Baseball Tonight</x:v>
      </x:c>
      <x:c r="E52" s="9"/>
      <x:c r="F52" s="9" t="str">
        <x:v>Park Place Productions</x:v>
      </x:c>
      <x:c r="G52" s="9" t="str">
        <x:v>Sony Imagesoft</x:v>
      </x:c>
      <x:c r="H52" s="9" t="n">
        <x:v>1994</x:v>
      </x:c>
      <x:c r="I52" s="9" t="str">
        <x:v>Yes</x:v>
      </x:c>
      <x:c r="J52" s="9" t="str">
        <x:v>No</x:v>
      </x:c>
      <x:c r="K52" s="9" t="str">
        <x:v>No</x:v>
      </x:c>
      <x:c r="L52" s="9" t="str">
        <x:v>No</x:v>
      </x:c>
      <x:c r="M52" s="9" t="str">
        <x:v>Baseball</x:v>
      </x:c>
      <x:c r="N52" s="9" t="str">
        <x:v>Live-action</x:v>
      </x:c>
      <x:c r="O52" s="9" t="n">
        <x:v>2</x:v>
      </x:c>
      <x:c r="P52" s="9" t="str">
        <x:v>Sports w/ FMV</x:v>
      </x:c>
      <x:c r="Q52" s="9" t="str">
        <x:v>Released</x:v>
      </x:c>
      <x:c r="R52" s="9" t="str">
        <x:v>ESPN license</x:v>
      </x:c>
      <x:c r="S52" s="9" t="str">
        <x:v>Genesis, SNES, PC (no FMV)</x:v>
      </x:c>
      <x:c r="T52" s="9" t="str">
        <x:v>Chris Berman</x:v>
      </x:c>
      <x:c r="U52" s="9" t="n">
        <x:v>1</x:v>
      </x:c>
      <x:c r="V52" s="9" t="str">
        <x:v>No</x:v>
      </x:c>
      <x:c r="W52" s="9" t="str">
        <x:v>Controller</x:v>
      </x:c>
      <x:c r="X52" s="9" t="str">
        <x:v>Med</x:v>
      </x:c>
      <x:c r="Y52" s="9" t="str">
        <x:v>ESPN branding, Chris Berman segments</x:v>
      </x:c>
      <x:c r="Z52" s="9" t="str">
        <x:v>30 min+</x:v>
      </x:c>
      <x:c r="AA52" s="9" t="str">
        <x:v>Chris Berman introducing a baseball game that's otherwise the Genesis cart.</x:v>
      </x:c>
      <x:c r="AB52" s="9" t="str">
        <x:v>None.</x:v>
      </x:c>
      <x:c r="AC52" s="9" t="str">
        <x:v>Chris Berman intro/segments in a window.</x:v>
      </x:c>
      <x:c r="AD52" s="9" t="str">
        <x:v>Medium.</x:v>
      </x:c>
      <x:c r="AE52" s="9" t="str">
        <x:v>None.</x:v>
      </x:c>
      <x:c r="AF52" s="9" t="str">
        <x:v>Park Place Productions developed the whole ESPN line for Sony Imagesoft.</x:v>
      </x:c>
      <x:c r="AG52" s="9" t="str">
        <x:v>US only.</x:v>
      </x:c>
      <x:c r="AH52" s="9" t="str">
        <x:v>No</x:v>
      </x:c>
      <x:c r="AI52" s="9" t="str">
        <x:v>Easy</x:v>
      </x:c>
      <x:c r="AJ52" s="9"/>
      <x:c r="AK52" s="9" t="str">
        <x:v>FMV Chris Berman segments; gameplay is standard.</x:v>
      </x:c>
      <x:c r="AL52" s="10" t="n">
        <x:v>13.13</x:v>
      </x:c>
      <x:c r="AM52" s="10" t="n">
        <x:v>20.37</x:v>
      </x:c>
      <x:c r="AN52" s="10" t="n">
        <x:v>57.8</x:v>
      </x:c>
      <x:c r="AO52" s="9" t="str">
        <x:v>2026-10-20</x:v>
      </x:c>
      <x:c r="AP52" s="11" t="str">
        <x:f>HYPERLINK("https://www.pricecharting.com/search-products?q=ESPN+Baseball+Tonight+sega+cd&amp;type=prices","PriceCharting")</x:f>
        <x:v>PriceCharting</x:v>
      </x:c>
      <x:c r="AQ52" s="9"/>
      <x:c r="AR52" s="9"/>
      <x:c r="AS52" s="9"/>
      <x:c r="AT52" s="9"/>
      <x:c r="AU52" s="9"/>
      <x:c r="AV52" s="9"/>
      <x:c r="AW52" s="9"/>
      <x:c r="AX52" s="9"/>
      <x:c r="AY52" s="9"/>
      <x:c r="AZ52" s="9"/>
      <x:c r="BA52" s="11" t="str">
        <x:f>HYPERLINK("https://www.mobygames.com/game/espn-baseball-tonight","MobyGames")</x:f>
        <x:v>MobyGames</x:v>
      </x:c>
      <x:c r="BB52" s="9"/>
      <x:c r="BC52" s="9"/>
      <x:c r="BD52" s="9"/>
      <x:c r="BE52" s="11" t="str">
        <x:f>HYPERLINK("https://en.wikipedia.org/wiki/ESPN_Baseball_Tonight","Wikipedia")</x:f>
        <x:v>Wikipedia</x:v>
      </x:c>
      <x:c r="BF52" s="11" t="str">
        <x:f>HYPERLINK("https://backloggd.com/search/games/ESPN%20Baseball%20Tonight/","Backloggd")</x:f>
        <x:v>Backloggd</x:v>
      </x:c>
      <x:c r="BG52" s="11" t="str">
        <x:f>HYPERLINK("https://segaretro.org/index.php?search=ESPN+Baseball+Tonight","Sega Retro")</x:f>
        <x:v>Sega Retro</x:v>
      </x:c>
      <x:c r="BH52" s="9"/>
      <x:c r="BI52" s="12" t="str">
        <x:v>No</x:v>
      </x:c>
      <x:c r="BJ52" s="12" t="str"/>
      <x:c r="BK52" s="12" t="str">
        <x:v>No</x:v>
      </x:c>
      <x:c r="BL52" s="12" t="str"/>
      <x:c r="BM52" s="12" t="str"/>
      <x:c r="BN52" s="12" t="str"/>
      <x:c r="BO52" s="12" t="str"/>
      <x:c r="BP52" s="12" t="str"/>
      <x:c r="BQ52" s="12" t="str"/>
    </x:row>
    <x:row r="53">
      <x:c r="A53" s="9" t="str">
        <x:v>segacd-52</x:v>
      </x:c>
      <x:c r="B53" s="9" t="str">
        <x:v>espn-national-hockey-night</x:v>
      </x:c>
      <x:c r="C53" s="9" t="str">
        <x:v>Sega CD</x:v>
      </x:c>
      <x:c r="D53" s="9" t="str">
        <x:v>ESPN National Hockey Night</x:v>
      </x:c>
      <x:c r="E53" s="9"/>
      <x:c r="F53" s="9" t="str">
        <x:v>Park Place Productions</x:v>
      </x:c>
      <x:c r="G53" s="9" t="str">
        <x:v>Sony Imagesoft</x:v>
      </x:c>
      <x:c r="H53" s="9" t="n">
        <x:v>1994</x:v>
      </x:c>
      <x:c r="I53" s="9" t="str">
        <x:v>Yes</x:v>
      </x:c>
      <x:c r="J53" s="9" t="str">
        <x:v>No</x:v>
      </x:c>
      <x:c r="K53" s="9" t="str">
        <x:v>No</x:v>
      </x:c>
      <x:c r="L53" s="9" t="str">
        <x:v>No</x:v>
      </x:c>
      <x:c r="M53" s="9" t="str">
        <x:v>Hockey</x:v>
      </x:c>
      <x:c r="N53" s="9" t="str">
        <x:v>Live-action</x:v>
      </x:c>
      <x:c r="O53" s="9" t="n">
        <x:v>2</x:v>
      </x:c>
      <x:c r="P53" s="9" t="str">
        <x:v>Sports w/ FMV</x:v>
      </x:c>
      <x:c r="Q53" s="9" t="str">
        <x:v>Released</x:v>
      </x:c>
      <x:c r="R53" s="9" t="str">
        <x:v>ESPN license</x:v>
      </x:c>
      <x:c r="S53" s="9" t="str">
        <x:v>Genesis, SNES (no FMV)</x:v>
      </x:c>
      <x:c r="T53" s="9" t="str">
        <x:v>—</x:v>
      </x:c>
      <x:c r="U53" s="9" t="n">
        <x:v>1</x:v>
      </x:c>
      <x:c r="V53" s="9" t="str">
        <x:v>No</x:v>
      </x:c>
      <x:c r="W53" s="9" t="str">
        <x:v>Controller</x:v>
      </x:c>
      <x:c r="X53" s="9" t="str">
        <x:v>Med</x:v>
      </x:c>
      <x:c r="Y53" s="9" t="str">
        <x:v>ESPN branding &amp; commentary</x:v>
      </x:c>
      <x:c r="Z53" s="9" t="str">
        <x:v>30 min+</x:v>
      </x:c>
      <x:c r="AA53" s="9" t="str">
        <x:v>The ESPN hockey game, notable mostly for being the cheapest way to see ESPN-branded FMV on Sega CD.</x:v>
      </x:c>
      <x:c r="AB53" s="9" t="str">
        <x:v>None.</x:v>
      </x:c>
      <x:c r="AC53" s="9" t="str">
        <x:v>ESPN-styled video segments in a window.</x:v>
      </x:c>
      <x:c r="AD53" s="9" t="str">
        <x:v>Medium.</x:v>
      </x:c>
      <x:c r="AE53" s="9" t="str">
        <x:v>None.</x:v>
      </x:c>
      <x:c r="AF53" s="9" t="str">
        <x:v>Same line as Baseball Tonight.</x:v>
      </x:c>
      <x:c r="AG53" s="9" t="str">
        <x:v>US only.</x:v>
      </x:c>
      <x:c r="AH53" s="9" t="str">
        <x:v>No</x:v>
      </x:c>
      <x:c r="AI53" s="9" t="str">
        <x:v>Easy</x:v>
      </x:c>
      <x:c r="AJ53" s="9"/>
      <x:c r="AK53" s="9" t="str">
        <x:v>FMV commentary; gameplay is standard.</x:v>
      </x:c>
      <x:c r="AL53" s="10" t="n">
        <x:v>9.99</x:v>
      </x:c>
      <x:c r="AM53" s="10" t="n">
        <x:v>13.99</x:v>
      </x:c>
      <x:c r="AN53" s="10" t="n">
        <x:v>30.85</x:v>
      </x:c>
      <x:c r="AO53" s="9" t="str">
        <x:v>2026-10-20</x:v>
      </x:c>
      <x:c r="AP53" s="11" t="str">
        <x:f>HYPERLINK("https://www.pricecharting.com/search-products?q=ESPN+National+Hockey+Night+sega+cd&amp;type=prices","PriceCharting")</x:f>
        <x:v>PriceCharting</x:v>
      </x:c>
      <x:c r="AQ53" s="9"/>
      <x:c r="AR53" s="9"/>
      <x:c r="AS53" s="9"/>
      <x:c r="AT53" s="9"/>
      <x:c r="AU53" s="9"/>
      <x:c r="AV53" s="9"/>
      <x:c r="AW53" s="9" t="str">
        <x:v>4/10</x:v>
      </x:c>
      <x:c r="AX53" s="9" t="str">
        <x:f>HYPERLINK("https://www.sega-16.com/2011/08/espn-national-hockey-night-2","Sega-16")</x:f>
        <x:v>Sega-16</x:v>
      </x:c>
      <x:c r="AY53" s="9"/>
      <x:c r="AZ53" s="9"/>
      <x:c r="BA53" s="11" t="str">
        <x:f>HYPERLINK("https://www.mobygames.com/game/sega-cd/espn-national-hockey-night_","MobyGames")</x:f>
        <x:v>MobyGames</x:v>
      </x:c>
      <x:c r="BB53" s="9"/>
      <x:c r="BC53" s="9"/>
      <x:c r="BD53" s="9"/>
      <x:c r="BE53" s="11" t="str">
        <x:f>HYPERLINK("https://en.wikipedia.org/wiki/ESPN_National_Hockey_Night_(video_game)","Wikipedia")</x:f>
        <x:v>Wikipedia</x:v>
      </x:c>
      <x:c r="BF53" s="11" t="str">
        <x:f>HYPERLINK("https://backloggd.com/search/games/ESPN%20National%20Hockey%20Night/","Backloggd")</x:f>
        <x:v>Backloggd</x:v>
      </x:c>
      <x:c r="BG53" s="11" t="str">
        <x:f>HYPERLINK("https://segaretro.org/index.php?search=ESPN+National+Hockey+Night","Sega Retro")</x:f>
        <x:v>Sega Retro</x:v>
      </x:c>
      <x:c r="BH53" s="9"/>
      <x:c r="BI53" s="12" t="str">
        <x:v>No</x:v>
      </x:c>
      <x:c r="BJ53" s="12" t="str"/>
      <x:c r="BK53" s="12" t="str">
        <x:v>No</x:v>
      </x:c>
      <x:c r="BL53" s="12" t="str"/>
      <x:c r="BM53" s="12" t="str"/>
      <x:c r="BN53" s="12" t="str"/>
      <x:c r="BO53" s="12" t="str"/>
      <x:c r="BP53" s="12" t="str"/>
      <x:c r="BQ53" s="12" t="str"/>
    </x:row>
    <x:row r="54">
      <x:c r="A54" s="9" t="str">
        <x:v>segacd-53</x:v>
      </x:c>
      <x:c r="B54" s="9" t="str">
        <x:v>espn-nba-hangtime-95</x:v>
      </x:c>
      <x:c r="C54" s="9" t="str">
        <x:v>Sega CD</x:v>
      </x:c>
      <x:c r="D54" s="9" t="str">
        <x:v>ESPN NBA Hangtime '95</x:v>
      </x:c>
      <x:c r="E54" s="9"/>
      <x:c r="F54" s="9" t="str">
        <x:v>Sony Imagesoft</x:v>
      </x:c>
      <x:c r="G54" s="9" t="str">
        <x:v>Sony Imagesoft</x:v>
      </x:c>
      <x:c r="H54" s="9" t="n">
        <x:v>1995</x:v>
      </x:c>
      <x:c r="I54" s="9" t="str">
        <x:v>Yes</x:v>
      </x:c>
      <x:c r="J54" s="9" t="str">
        <x:v>No</x:v>
      </x:c>
      <x:c r="K54" s="9" t="str">
        <x:v>No</x:v>
      </x:c>
      <x:c r="L54" s="9" t="str">
        <x:v>No</x:v>
      </x:c>
      <x:c r="M54" s="9" t="str">
        <x:v>Basketball</x:v>
      </x:c>
      <x:c r="N54" s="9" t="str">
        <x:v>Live-action</x:v>
      </x:c>
      <x:c r="O54" s="9" t="n">
        <x:v>2</x:v>
      </x:c>
      <x:c r="P54" s="9" t="str">
        <x:v>Sports w/ FMV</x:v>
      </x:c>
      <x:c r="Q54" s="9" t="str">
        <x:v>Released</x:v>
      </x:c>
      <x:c r="R54" s="9" t="str">
        <x:v>ESPN license</x:v>
      </x:c>
      <x:c r="S54" s="9" t="str">
        <x:v>Genesis, SNES (no FMV)</x:v>
      </x:c>
      <x:c r="T54" s="9" t="str">
        <x:v>—</x:v>
      </x:c>
      <x:c r="U54" s="9" t="n">
        <x:v>1</x:v>
      </x:c>
      <x:c r="V54" s="9" t="str">
        <x:v>No</x:v>
      </x:c>
      <x:c r="W54" s="9" t="str">
        <x:v>Controller</x:v>
      </x:c>
      <x:c r="X54" s="9" t="str">
        <x:v>Med</x:v>
      </x:c>
      <x:c r="Y54" s="9" t="str">
        <x:v>ESPN branding &amp; commentary</x:v>
      </x:c>
      <x:c r="Z54" s="9" t="str">
        <x:v>30 min+</x:v>
      </x:c>
      <x:c r="AA54" s="9" t="str">
        <x:v>A middling basketball game that now costs more than Night Trap because almost nobody bought it.</x:v>
      </x:c>
      <x:c r="AB54" s="9" t="str">
        <x:v>None.</x:v>
      </x:c>
      <x:c r="AC54" s="9" t="str">
        <x:v>Video segments in a window.</x:v>
      </x:c>
      <x:c r="AD54" s="9" t="str">
        <x:v>Medium.</x:v>
      </x:c>
      <x:c r="AE54" s="9" t="str">
        <x:v>None.</x:v>
      </x:c>
      <x:c r="AF54" s="9" t="str">
        <x:v>One of the rarest licensed Sega CD releases (1995); its price is a scarcity story, not a quality one.</x:v>
      </x:c>
      <x:c r="AG54" s="9" t="str">
        <x:v>US only.</x:v>
      </x:c>
      <x:c r="AH54" s="9" t="str">
        <x:v>No</x:v>
      </x:c>
      <x:c r="AI54" s="9" t="str">
        <x:v>Expensive</x:v>
      </x:c>
      <x:c r="AJ54" s="9"/>
      <x:c r="AK54" s="9" t="str">
        <x:v>FMV commentary; gameplay is standard.</x:v>
      </x:c>
      <x:c r="AL54" s="10" t="n">
        <x:v>102.65</x:v>
      </x:c>
      <x:c r="AM54" s="10" t="n">
        <x:v>267.73</x:v>
      </x:c>
      <x:c r="AN54" s="10" t="n">
        <x:v>482</x:v>
      </x:c>
      <x:c r="AO54" s="9" t="str">
        <x:v>2026-10-20</x:v>
      </x:c>
      <x:c r="AP54" s="11" t="str">
        <x:f>HYPERLINK("https://www.pricecharting.com/search-products?q=ESPN+NBA+Hangtime+%2795+sega+cd&amp;type=prices","PriceCharting")</x:f>
        <x:v>PriceCharting</x:v>
      </x:c>
      <x:c r="AQ54" s="9"/>
      <x:c r="AR54" s="9"/>
      <x:c r="AS54" s="9"/>
      <x:c r="AT54" s="9"/>
      <x:c r="AU54" s="9"/>
      <x:c r="AV54" s="9"/>
      <x:c r="AW54" s="9"/>
      <x:c r="AX54" s="9"/>
      <x:c r="AY54" s="9"/>
      <x:c r="AZ54" s="9"/>
      <x:c r="BA54" s="11" t="str">
        <x:f>HYPERLINK("https://www.mobygames.com/game/sega-cd/espn-nba-hangtime-95","MobyGames")</x:f>
        <x:v>MobyGames</x:v>
      </x:c>
      <x:c r="BB54" s="9"/>
      <x:c r="BC54" s="9"/>
      <x:c r="BD54" s="9"/>
      <x:c r="BE54" s="11" t="str">
        <x:f>HYPERLINK("https://en.wikipedia.org/wiki/ESPN_NBA_Hangtime_%2795","Wikipedia")</x:f>
        <x:v>Wikipedia</x:v>
      </x:c>
      <x:c r="BF54" s="11" t="str">
        <x:f>HYPERLINK("https://backloggd.com/search/games/ESPN%20NBA%20Hangtime%20%2795/","Backloggd")</x:f>
        <x:v>Backloggd</x:v>
      </x:c>
      <x:c r="BG54" s="11" t="str">
        <x:f>HYPERLINK("https://segaretro.org/index.php?search=ESPN+NBA+Hangtime+%2795","Sega Retro")</x:f>
        <x:v>Sega Retro</x:v>
      </x:c>
      <x:c r="BH54" s="9"/>
      <x:c r="BI54" s="12" t="str">
        <x:v>No</x:v>
      </x:c>
      <x:c r="BJ54" s="12" t="str"/>
      <x:c r="BK54" s="12" t="str">
        <x:v>No</x:v>
      </x:c>
      <x:c r="BL54" s="12" t="str"/>
      <x:c r="BM54" s="12" t="str"/>
      <x:c r="BN54" s="12" t="str"/>
      <x:c r="BO54" s="12" t="str"/>
      <x:c r="BP54" s="12" t="str"/>
      <x:c r="BQ54" s="12" t="str"/>
    </x:row>
    <x:row r="55">
      <x:c r="A55" s="9" t="str">
        <x:v>segacd-54</x:v>
      </x:c>
      <x:c r="B55" s="9" t="str">
        <x:v>espn-sunday-night-nfl</x:v>
      </x:c>
      <x:c r="C55" s="9" t="str">
        <x:v>Sega CD</x:v>
      </x:c>
      <x:c r="D55" s="9" t="str">
        <x:v>ESPN Sunday Night NFL</x:v>
      </x:c>
      <x:c r="E55" s="9"/>
      <x:c r="F55" s="9" t="str">
        <x:v>Ringler Studios</x:v>
      </x:c>
      <x:c r="G55" s="9" t="str">
        <x:v>Sony Imagesoft</x:v>
      </x:c>
      <x:c r="H55" s="9" t="n">
        <x:v>1994</x:v>
      </x:c>
      <x:c r="I55" s="9" t="str">
        <x:v>Yes</x:v>
      </x:c>
      <x:c r="J55" s="9" t="str">
        <x:v>No</x:v>
      </x:c>
      <x:c r="K55" s="9" t="str">
        <x:v>No</x:v>
      </x:c>
      <x:c r="L55" s="9" t="str">
        <x:v>No</x:v>
      </x:c>
      <x:c r="M55" s="9" t="str">
        <x:v>American football</x:v>
      </x:c>
      <x:c r="N55" s="9" t="str">
        <x:v>Live-action</x:v>
      </x:c>
      <x:c r="O55" s="9" t="n">
        <x:v>2</x:v>
      </x:c>
      <x:c r="P55" s="9" t="str">
        <x:v>Sports w/ FMV</x:v>
      </x:c>
      <x:c r="Q55" s="9" t="str">
        <x:v>Released</x:v>
      </x:c>
      <x:c r="R55" s="9" t="str">
        <x:v>ESPN / NFL license</x:v>
      </x:c>
      <x:c r="S55" s="9" t="str">
        <x:v>Genesis, SNES (no FMV)</x:v>
      </x:c>
      <x:c r="T55" s="9" t="str">
        <x:v>Chris Berman</x:v>
      </x:c>
      <x:c r="U55" s="9" t="n">
        <x:v>1</x:v>
      </x:c>
      <x:c r="V55" s="9" t="str">
        <x:v>No</x:v>
      </x:c>
      <x:c r="W55" s="9" t="str">
        <x:v>Controller</x:v>
      </x:c>
      <x:c r="X55" s="9" t="str">
        <x:v>Med</x:v>
      </x:c>
      <x:c r="Y55" s="9" t="str">
        <x:v>ESPN branding, Chris Berman segments</x:v>
      </x:c>
      <x:c r="Z55" s="9" t="str">
        <x:v>30 min+</x:v>
      </x:c>
      <x:c r="AA55" s="9" t="str">
        <x:v>Chris Berman again, this time for football.</x:v>
      </x:c>
      <x:c r="AB55" s="9" t="str">
        <x:v>None.</x:v>
      </x:c>
      <x:c r="AC55" s="9" t="str">
        <x:v>Berman segments in a window.</x:v>
      </x:c>
      <x:c r="AD55" s="9" t="str">
        <x:v>Medium.</x:v>
      </x:c>
      <x:c r="AE55" s="9" t="str">
        <x:v>None.</x:v>
      </x:c>
      <x:c r="AF55" s="9" t="str">
        <x:v>Ringler Studios developed; Sega CD version adds the video over the cart version.</x:v>
      </x:c>
      <x:c r="AG55" s="9" t="str">
        <x:v>US only.</x:v>
      </x:c>
      <x:c r="AH55" s="9" t="str">
        <x:v>No</x:v>
      </x:c>
      <x:c r="AI55" s="9" t="str">
        <x:v>Easy</x:v>
      </x:c>
      <x:c r="AJ55" s="9"/>
      <x:c r="AK55" s="9" t="str">
        <x:v>FMV Chris Berman segments; gameplay is standard.</x:v>
      </x:c>
      <x:c r="AL55" s="10" t="n">
        <x:v>8.06</x:v>
      </x:c>
      <x:c r="AM55" s="10" t="n">
        <x:v>16.75</x:v>
      </x:c>
      <x:c r="AN55" s="10" t="n">
        <x:v>30.44</x:v>
      </x:c>
      <x:c r="AO55" s="9" t="str">
        <x:v>2026-10-20</x:v>
      </x:c>
      <x:c r="AP55" s="11" t="str">
        <x:f>HYPERLINK("https://www.pricecharting.com/search-products?q=ESPN+Sunday+Night+NFL+sega+cd&amp;type=prices","PriceCharting")</x:f>
        <x:v>PriceCharting</x:v>
      </x:c>
      <x:c r="AQ55" s="9"/>
      <x:c r="AR55" s="9"/>
      <x:c r="AS55" s="9"/>
      <x:c r="AT55" s="9"/>
      <x:c r="AU55" s="9"/>
      <x:c r="AV55" s="9"/>
      <x:c r="AW55" s="9"/>
      <x:c r="AX55" s="9"/>
      <x:c r="AY55" s="9" t="str">
        <x:v>49%</x:v>
      </x:c>
      <x:c r="AZ55" s="9" t="str">
        <x:v>3.1</x:v>
      </x:c>
      <x:c r="BA55" s="11" t="str">
        <x:f>HYPERLINK("https://mobygames.com/game/37011","MobyGames")</x:f>
        <x:v>MobyGames</x:v>
      </x:c>
      <x:c r="BB55" s="9"/>
      <x:c r="BC55" s="9"/>
      <x:c r="BD55" s="9"/>
      <x:c r="BE55" s="11" t="str">
        <x:f>HYPERLINK("https://en.wikipedia.org/wiki/ESPN_Sunday_Night_NFL","Wikipedia")</x:f>
        <x:v>Wikipedia</x:v>
      </x:c>
      <x:c r="BF55" s="11" t="str">
        <x:f>HYPERLINK("https://backloggd.com/search/games/ESPN%20Sunday%20Night%20NFL/","Backloggd")</x:f>
        <x:v>Backloggd</x:v>
      </x:c>
      <x:c r="BG55" s="11" t="str">
        <x:f>HYPERLINK("https://segaretro.org/index.php?search=ESPN+Sunday+Night+NFL","Sega Retro")</x:f>
        <x:v>Sega Retro</x:v>
      </x:c>
      <x:c r="BH55" s="9"/>
      <x:c r="BI55" s="12" t="str">
        <x:v>No</x:v>
      </x:c>
      <x:c r="BJ55" s="12" t="str"/>
      <x:c r="BK55" s="12" t="str">
        <x:v>No</x:v>
      </x:c>
      <x:c r="BL55" s="12" t="str"/>
      <x:c r="BM55" s="12" t="str"/>
      <x:c r="BN55" s="12" t="str"/>
      <x:c r="BO55" s="12" t="str"/>
      <x:c r="BP55" s="12" t="str"/>
      <x:c r="BQ55" s="12" t="str"/>
    </x:row>
    <x:row r="56">
      <x:c r="A56" s="9" t="str">
        <x:v>segacd-55</x:v>
      </x:c>
      <x:c r="B56" s="9" t="str">
        <x:v>heavenly-symphony-formula-one-world-championship-1993</x:v>
      </x:c>
      <x:c r="C56" s="9" t="str">
        <x:v>Sega CD</x:v>
      </x:c>
      <x:c r="D56" s="9" t="str">
        <x:v>Heavenly Symphony: Formula One World Championship 1993</x:v>
      </x:c>
      <x:c r="E56" s="9"/>
      <x:c r="F56" s="9" t="str">
        <x:v>Sega</x:v>
      </x:c>
      <x:c r="G56" s="9" t="str">
        <x:v>Sega</x:v>
      </x:c>
      <x:c r="H56" s="9" t="n">
        <x:v>1994</x:v>
      </x:c>
      <x:c r="I56" s="9" t="str">
        <x:v>No</x:v>
      </x:c>
      <x:c r="J56" s="9" t="str">
        <x:v>Yes</x:v>
      </x:c>
      <x:c r="K56" s="9" t="str">
        <x:v>No</x:v>
      </x:c>
      <x:c r="L56" s="9" t="str">
        <x:v>No</x:v>
      </x:c>
      <x:c r="M56" s="9" t="str">
        <x:v>Racing</x:v>
      </x:c>
      <x:c r="N56" s="9" t="str">
        <x:v>Live-action</x:v>
      </x:c>
      <x:c r="O56" s="9" t="n">
        <x:v>3</x:v>
      </x:c>
      <x:c r="P56" s="9" t="str">
        <x:v>Sports w/ FMV</x:v>
      </x:c>
      <x:c r="Q56" s="9" t="str">
        <x:v>Released</x:v>
      </x:c>
      <x:c r="R56" s="9" t="str">
        <x:v>1993 F1 season license</x:v>
      </x:c>
      <x:c r="S56" s="9" t="str">
        <x:v>Mega CD only</x:v>
      </x:c>
      <x:c r="T56" s="9" t="str">
        <x:v>1993 F1 drivers (footage)</x:v>
      </x:c>
      <x:c r="U56" s="9" t="n">
        <x:v>1</x:v>
      </x:c>
      <x:c r="V56" s="9" t="str">
        <x:v>Yes</x:v>
      </x:c>
      <x:c r="W56" s="9" t="str">
        <x:v>Controller</x:v>
      </x:c>
      <x:c r="X56" s="9" t="str">
        <x:v>HIGH</x:v>
      </x:c>
      <x:c r="Y56" s="9" t="str">
        <x:v>Real F1 race footage (FOM)</x:v>
      </x:c>
      <x:c r="Z56" s="9" t="str">
        <x:v>2 hr+</x:v>
      </x:c>
      <x:c r="AA56" s="9" t="str">
        <x:v>A Japanese F1 game with real 1993 race footage — Senna's last full season — that costs five dollars.</x:v>
      </x:c>
      <x:c r="AB56" s="9" t="str">
        <x:v>None known.</x:v>
      </x:c>
      <x:c r="AC56" s="9" t="str">
        <x:v>Real F1 footage between races, small window; gameplay is sprite-based.</x:v>
      </x:c>
      <x:c r="AD56" s="9" t="str">
        <x:v>Medium-hard — a serious racing sim for its time.</x:v>
      </x:c>
      <x:c r="AE56" s="9" t="str">
        <x:v>Championship ending.</x:v>
      </x:c>
      <x:c r="AF56" s="9" t="str">
        <x:v>Sega's own F1 licence (Japan). The '93 footage includes Senna, Prost and Schumacher. Mega CD only.</x:v>
      </x:c>
      <x:c r="AG56" s="9" t="str">
        <x:v>JP only.</x:v>
      </x:c>
      <x:c r="AH56" s="9" t="str">
        <x:v>No</x:v>
      </x:c>
      <x:c r="AI56" s="9" t="str">
        <x:v>Import</x:v>
      </x:c>
      <x:c r="AJ56" s="9"/>
      <x:c r="AK56" s="9" t="str">
        <x:v>Japan only. Real 1993 F1 season footage between races.</x:v>
      </x:c>
      <x:c r="AL56" s="10" t="n">
        <x:v>4.99</x:v>
      </x:c>
      <x:c r="AM56" s="10" t="n">
        <x:v>11.34</x:v>
      </x:c>
      <x:c r="AN56" s="10" t="n">
        <x:v>23</x:v>
      </x:c>
      <x:c r="AO56" s="9" t="str">
        <x:v>2026-10-20</x:v>
      </x:c>
      <x:c r="AP56" s="11" t="str">
        <x:f>HYPERLINK("https://www.pricecharting.com/search-products?q=Heavenly+Symphony%3A+Formula+One+World+Championship+1993+sega+cd&amp;type=prices","PriceCharting")</x:f>
        <x:v>PriceCharting</x:v>
      </x:c>
      <x:c r="AQ56" s="9"/>
      <x:c r="AR56" s="9"/>
      <x:c r="AS56" s="9"/>
      <x:c r="AT56" s="9"/>
      <x:c r="AU56" s="9"/>
      <x:c r="AV56" s="9"/>
      <x:c r="AW56" s="9" t="str">
        <x:v>1/10</x:v>
      </x:c>
      <x:c r="AX56" s="9" t="str">
        <x:f>HYPERLINK("https://www.sega-16.com/?p=1618","Sega-16")</x:f>
        <x:v>Sega-16</x:v>
      </x:c>
      <x:c r="AY56" s="9" t="str">
        <x:v>71%</x:v>
      </x:c>
      <x:c r="AZ56" s="9" t="str">
        <x:v>2.8</x:v>
      </x:c>
      <x:c r="BA56" s="11" t="str">
        <x:f>HYPERLINK("https://www.mobygames.com/game/12612/","MobyGames")</x:f>
        <x:v>MobyGames</x:v>
      </x:c>
      <x:c r="BB56" s="9"/>
      <x:c r="BC56" s="9"/>
      <x:c r="BD56" s="9"/>
      <x:c r="BE56" s="9"/>
      <x:c r="BF56" s="11" t="str">
        <x:f>HYPERLINK("https://backloggd.com/search/games/Heavenly%20Symphony%3A%20Formula%20One%20World%20Championship%201993/","Backloggd")</x:f>
        <x:v>Backloggd</x:v>
      </x:c>
      <x:c r="BG56" s="11" t="str">
        <x:f>HYPERLINK("https://segaretro.org/index.php?search=Heavenly+Symphony%3A+Formula+One+World+Championship+1993","Sega Retro")</x:f>
        <x:v>Sega Retro</x:v>
      </x:c>
      <x:c r="BH56" s="9"/>
      <x:c r="BI56" s="12" t="str">
        <x:v>No</x:v>
      </x:c>
      <x:c r="BJ56" s="12" t="str"/>
      <x:c r="BK56" s="12" t="str">
        <x:v>No</x:v>
      </x:c>
      <x:c r="BL56" s="12" t="str"/>
      <x:c r="BM56" s="12" t="str"/>
      <x:c r="BN56" s="12" t="str"/>
      <x:c r="BO56" s="12" t="str"/>
      <x:c r="BP56" s="12" t="str"/>
      <x:c r="BQ56" s="12" t="str"/>
    </x:row>
    <x:row r="57">
      <x:c r="A57" s="9" t="str">
        <x:v>segacd-56</x:v>
      </x:c>
      <x:c r="B57" s="9" t="str">
        <x:v>jurassic-park</x:v>
      </x:c>
      <x:c r="C57" s="9" t="str">
        <x:v>Sega CD</x:v>
      </x:c>
      <x:c r="D57" s="9" t="str">
        <x:v>Jurassic Park</x:v>
      </x:c>
      <x:c r="E57" s="9"/>
      <x:c r="F57" s="9" t="str">
        <x:v>Sega Multimedia Studio</x:v>
      </x:c>
      <x:c r="G57" s="9" t="str">
        <x:v>Sega</x:v>
      </x:c>
      <x:c r="H57" s="9" t="n">
        <x:v>1993</x:v>
      </x:c>
      <x:c r="I57" s="9" t="str">
        <x:v>Yes</x:v>
      </x:c>
      <x:c r="J57" s="9" t="str">
        <x:v>Yes</x:v>
      </x:c>
      <x:c r="K57" s="9" t="str">
        <x:v>Yes</x:v>
      </x:c>
      <x:c r="L57" s="9" t="str">
        <x:v>No</x:v>
      </x:c>
      <x:c r="M57" s="9" t="str">
        <x:v>Adventure</x:v>
      </x:c>
      <x:c r="N57" s="9" t="str">
        <x:v>Live-action + CG</x:v>
      </x:c>
      <x:c r="O57" s="9" t="n">
        <x:v>2</x:v>
      </x:c>
      <x:c r="P57" s="9" t="str">
        <x:v>Cutscenes only</x:v>
      </x:c>
      <x:c r="Q57" s="9" t="str">
        <x:v>Released</x:v>
      </x:c>
      <x:c r="R57" s="9" t="str">
        <x:v>1993 film license</x:v>
      </x:c>
      <x:c r="S57" s="9" t="str">
        <x:v>Sega CD only (Genesis/SNES games differ)</x:v>
      </x:c>
      <x:c r="T57" s="9" t="str">
        <x:v>—</x:v>
      </x:c>
      <x:c r="U57" s="9" t="n">
        <x:v>1</x:v>
      </x:c>
      <x:c r="V57" s="9" t="str">
        <x:v>Yes</x:v>
      </x:c>
      <x:c r="W57" s="9" t="str">
        <x:v>Controller</x:v>
      </x:c>
      <x:c r="X57" s="9" t="str">
        <x:v>Med</x:v>
      </x:c>
      <x:c r="Y57" s="9" t="str">
        <x:v>Film license, Williams score cues</x:v>
      </x:c>
      <x:c r="Z57" s="9" t="str">
        <x:v>2–3 hr</x:v>
      </x:c>
      <x:c r="AA57" s="9" t="str">
        <x:v>Sega's own Jurassic Park is a point-and-click adventure, not the platformer, and it opens with the dinosaurs in 64-colour video.</x:v>
      </x:c>
      <x:c r="AB57" s="9" t="str">
        <x:v>Debug 'Node Jumper': pick up the rock at the start, select it, move the cursor to the green strip between mountain and sea (a little left) and press C until it beeps; then hold Start on controller 2 to jump to any level or watch any video, and C on controller 2 gives that area's items. (GameFAQs)</x:v>
      </x:c>
      <x:c r="AC57" s="9" t="str">
        <x:v>Short FMV clips and a CG intro in a window; the in-game adventure is first-person stills.</x:v>
      </x:c>
      <x:c r="AD57" s="9" t="str">
        <x:v>Medium — a 12-hour in-game clock.</x:v>
      </x:c>
      <x:c r="AE57" s="9" t="str">
        <x:v>Single ending; game over when the clock expires or you're eaten.</x:v>
      </x:c>
      <x:c r="AF57" s="9" t="str">
        <x:v>Sega Multimedia Studio developed; entirely separate from the Genesis/SNES games. Features a 'dinosaur identification' video database.</x:v>
      </x:c>
      <x:c r="AG57" s="9" t="str">
        <x:v>US, PAL, JP.</x:v>
      </x:c>
      <x:c r="AH57" s="9" t="str">
        <x:v>No</x:v>
      </x:c>
      <x:c r="AI57" s="9" t="str">
        <x:v>Easy</x:v>
      </x:c>
      <x:c r="AJ57" s="9"/>
      <x:c r="AK57" s="9" t="str">
        <x:v>Point-and-click adventure with short FMV intro/cutscenes and Richard Attenborough-style briefing videos.</x:v>
      </x:c>
      <x:c r="AL57" s="10" t="n">
        <x:v>11.99</x:v>
      </x:c>
      <x:c r="AM57" s="10" t="n">
        <x:v>19.18</x:v>
      </x:c>
      <x:c r="AN57" s="10" t="n">
        <x:v>91.58</x:v>
      </x:c>
      <x:c r="AO57" s="9" t="str">
        <x:v>2026-10-20</x:v>
      </x:c>
      <x:c r="AP57" s="11" t="str">
        <x:f>HYPERLINK("https://www.pricecharting.com/search-products?q=Jurassic+Park+sega+cd&amp;type=prices","PriceCharting")</x:f>
        <x:v>PriceCharting</x:v>
      </x:c>
      <x:c r="AQ57" s="9"/>
      <x:c r="AR57" s="9"/>
      <x:c r="AS57" s="9"/>
      <x:c r="AT57" s="9"/>
      <x:c r="AU57" s="9"/>
      <x:c r="AV57" s="9"/>
      <x:c r="AW57" s="9" t="str">
        <x:v>7/10</x:v>
      </x:c>
      <x:c r="AX57" s="9" t="str">
        <x:f>HYPERLINK("https://www.sega-16.com/2007/05/jurassic-park-cd/","Sega-16")</x:f>
        <x:v>Sega-16</x:v>
      </x:c>
      <x:c r="AY57" s="9" t="str">
        <x:v>70%</x:v>
      </x:c>
      <x:c r="AZ57" s="9" t="str">
        <x:v>3.4</x:v>
      </x:c>
      <x:c r="BA57" s="11" t="str">
        <x:f>HYPERLINK("https://www.mobygames.com/game/12129","MobyGames")</x:f>
        <x:v>MobyGames</x:v>
      </x:c>
      <x:c r="BB57" s="9"/>
      <x:c r="BC57" s="9"/>
      <x:c r="BD57" s="9"/>
      <x:c r="BE57" s="11" t="str">
        <x:f>HYPERLINK("https://en.wikipedia.org/wiki/Jurassic_Park_(Sega_CD_video_game)","Wikipedia")</x:f>
        <x:v>Wikipedia</x:v>
      </x:c>
      <x:c r="BF57" s="11" t="str">
        <x:f>HYPERLINK("https://backloggd.com/search/games/Jurassic%20Park/","Backloggd")</x:f>
        <x:v>Backloggd</x:v>
      </x:c>
      <x:c r="BG57" s="11" t="str">
        <x:f>HYPERLINK("https://segaretro.org/index.php?search=Jurassic+Park","Sega Retro")</x:f>
        <x:v>Sega Retro</x:v>
      </x:c>
      <x:c r="BH57" s="9"/>
      <x:c r="BI57" s="12" t="str">
        <x:v>No</x:v>
      </x:c>
      <x:c r="BJ57" s="12" t="str"/>
      <x:c r="BK57" s="12" t="str">
        <x:v>No</x:v>
      </x:c>
      <x:c r="BL57" s="12" t="str"/>
      <x:c r="BM57" s="12" t="str"/>
      <x:c r="BN57" s="12" t="str"/>
      <x:c r="BO57" s="12" t="str"/>
      <x:c r="BP57" s="12" t="str"/>
      <x:c r="BQ57" s="12" t="str"/>
    </x:row>
    <x:row r="58">
      <x:c r="A58" s="9" t="str">
        <x:v>segacd-57</x:v>
      </x:c>
      <x:c r="B58" s="9" t="str">
        <x:v>bram-stokers-dracula</x:v>
      </x:c>
      <x:c r="C58" s="9" t="str">
        <x:v>Sega CD</x:v>
      </x:c>
      <x:c r="D58" s="9" t="str">
        <x:v>Bram Stoker's Dracula</x:v>
      </x:c>
      <x:c r="E58" s="9"/>
      <x:c r="F58" s="9" t="str">
        <x:v>Psygnosis</x:v>
      </x:c>
      <x:c r="G58" s="9" t="str">
        <x:v>Sony Imagesoft</x:v>
      </x:c>
      <x:c r="H58" s="9" t="n">
        <x:v>1993</x:v>
      </x:c>
      <x:c r="I58" s="9" t="str">
        <x:v>Yes</x:v>
      </x:c>
      <x:c r="J58" s="9" t="str">
        <x:v>No</x:v>
      </x:c>
      <x:c r="K58" s="9" t="str">
        <x:v>Yes</x:v>
      </x:c>
      <x:c r="L58" s="9" t="str">
        <x:v>No</x:v>
      </x:c>
      <x:c r="M58" s="9" t="str">
        <x:v>Platformer</x:v>
      </x:c>
      <x:c r="N58" s="9" t="str">
        <x:v>Live-action</x:v>
      </x:c>
      <x:c r="O58" s="9" t="n">
        <x:v>3</x:v>
      </x:c>
      <x:c r="P58" s="9" t="str">
        <x:v>Cutscenes only</x:v>
      </x:c>
      <x:c r="Q58" s="9" t="str">
        <x:v>Released</x:v>
      </x:c>
      <x:c r="R58" s="9" t="str">
        <x:v>1992 film license</x:v>
      </x:c>
      <x:c r="S58" s="9" t="str">
        <x:v>Genesis, SNES, Amiga, PC (no FMV)</x:v>
      </x:c>
      <x:c r="T58" s="9" t="str">
        <x:v>Gary Oldman, Keanu Reeves (clips)</x:v>
      </x:c>
      <x:c r="U58" s="9" t="n">
        <x:v>1</x:v>
      </x:c>
      <x:c r="V58" s="9" t="str">
        <x:v>No</x:v>
      </x:c>
      <x:c r="W58" s="9" t="str">
        <x:v>Controller</x:v>
      </x:c>
      <x:c r="X58" s="9" t="str">
        <x:v>Med</x:v>
      </x:c>
      <x:c r="Y58" s="9" t="str">
        <x:v>Film clips, Kilar score</x:v>
      </x:c>
      <x:c r="Z58" s="9" t="str">
        <x:v>1 hr</x:v>
      </x:c>
      <x:c r="AA58" s="9" t="str">
        <x:v>Coppola's Dracula as a bad platformer, with Gary Oldman clips as the reward for finishing each stage.</x:v>
      </x:c>
      <x:c r="AB58" s="9" t="str">
        <x:v>Cheat mode: when 'Beware' appears press A, Left, Up, C, A, Right, Down. Then hold buttons and press Start to pick a level (B+C = level 3, A = 4, A+C = 5, A+B = 6). An infinite-lives combo also unlocks. (GameFAQs)</x:v>
      </x:c>
      <x:c r="AC58" s="9" t="str">
        <x:v>Film clips in a window between levels, ~10 fps.</x:v>
      </x:c>
      <x:c r="AD58" s="9" t="str">
        <x:v>Hard — a stiff platformer.</x:v>
      </x:c>
      <x:c r="AE58" s="9" t="str">
        <x:v>Single ending.</x:v>
      </x:c>
      <x:c r="AF58" s="9" t="str">
        <x:v>Psygnosis developed all versions; Sony Imagesoft's CD version added the clips and a CD soundtrack.</x:v>
      </x:c>
      <x:c r="AG58" s="9" t="str">
        <x:v>US, PAL; US 'Mary Shelley's Frankenstein &amp; Bram Stoker's Dracula' 2-pack.</x:v>
      </x:c>
      <x:c r="AH58" s="9" t="str">
        <x:v>No</x:v>
      </x:c>
      <x:c r="AI58" s="9" t="str">
        <x:v>Easy</x:v>
      </x:c>
      <x:c r="AJ58" s="9"/>
      <x:c r="AK58" s="9" t="str">
        <x:v>Platformer with clips from the 1992 Coppola film between stages.</x:v>
      </x:c>
      <x:c r="AL58" s="10" t="n">
        <x:v>10.69</x:v>
      </x:c>
      <x:c r="AM58" s="10" t="n">
        <x:v>19.99</x:v>
      </x:c>
      <x:c r="AN58" s="10" t="n">
        <x:v>52.49</x:v>
      </x:c>
      <x:c r="AO58" s="9" t="str">
        <x:v>2026-10-20</x:v>
      </x:c>
      <x:c r="AP58" s="11" t="str">
        <x:f>HYPERLINK("https://www.pricecharting.com/search-products?q=Bram+Stoker%27s+Dracula+sega+cd&amp;type=prices","PriceCharting")</x:f>
        <x:v>PriceCharting</x:v>
      </x:c>
      <x:c r="AQ58" s="9"/>
      <x:c r="AR58" s="9"/>
      <x:c r="AS58" s="9"/>
      <x:c r="AT58" s="9"/>
      <x:c r="AU58" s="9"/>
      <x:c r="AV58" s="9"/>
      <x:c r="AW58" s="9" t="str">
        <x:v>2/10</x:v>
      </x:c>
      <x:c r="AX58" s="9" t="str">
        <x:f>HYPERLINK("https://www.sega-16.com/2007/03/bram-stokers-dracula/","Sega-16")</x:f>
        <x:v>Sega-16</x:v>
      </x:c>
      <x:c r="AY58" s="9" t="str">
        <x:v>54%</x:v>
      </x:c>
      <x:c r="AZ58" s="9" t="str">
        <x:v>2.7</x:v>
      </x:c>
      <x:c r="BA58" s="11" t="str">
        <x:f>HYPERLINK("https://mobygames.com/game/45350","MobyGames")</x:f>
        <x:v>MobyGames</x:v>
      </x:c>
      <x:c r="BB58" s="9"/>
      <x:c r="BC58" s="9"/>
      <x:c r="BD58" s="9"/>
      <x:c r="BE58" s="11" t="str">
        <x:f>HYPERLINK("https://en.wikipedia.org/wiki/Bram_Stoker%27s_Dracula_(video_game)","Wikipedia")</x:f>
        <x:v>Wikipedia</x:v>
      </x:c>
      <x:c r="BF58" s="11" t="str">
        <x:f>HYPERLINK("https://backloggd.com/search/games/Bram%20Stoker%27s%20Dracula/","Backloggd")</x:f>
        <x:v>Backloggd</x:v>
      </x:c>
      <x:c r="BG58" s="11" t="str">
        <x:f>HYPERLINK("https://segaretro.org/index.php?search=Bram+Stoker%27s+Dracula","Sega Retro")</x:f>
        <x:v>Sega Retro</x:v>
      </x:c>
      <x:c r="BH58" s="9"/>
      <x:c r="BI58" s="12" t="str">
        <x:v>No</x:v>
      </x:c>
      <x:c r="BJ58" s="12" t="str"/>
      <x:c r="BK58" s="12" t="str">
        <x:v>No</x:v>
      </x:c>
      <x:c r="BL58" s="12" t="str"/>
      <x:c r="BM58" s="12" t="str"/>
      <x:c r="BN58" s="12" t="str"/>
      <x:c r="BO58" s="12" t="str"/>
      <x:c r="BP58" s="12" t="str"/>
      <x:c r="BQ58" s="12" t="str"/>
    </x:row>
    <x:row r="59">
      <x:c r="A59" s="9" t="str">
        <x:v>segacd-58</x:v>
      </x:c>
      <x:c r="B59" s="9" t="str">
        <x:v>cliffhanger</x:v>
      </x:c>
      <x:c r="C59" s="9" t="str">
        <x:v>Sega CD</x:v>
      </x:c>
      <x:c r="D59" s="9" t="str">
        <x:v>Cliffhanger</x:v>
      </x:c>
      <x:c r="E59" s="9"/>
      <x:c r="F59" s="9" t="str">
        <x:v>Malibu Interactive</x:v>
      </x:c>
      <x:c r="G59" s="9" t="str">
        <x:v>Sony Imagesoft</x:v>
      </x:c>
      <x:c r="H59" s="9" t="n">
        <x:v>1993</x:v>
      </x:c>
      <x:c r="I59" s="9" t="str">
        <x:v>Yes</x:v>
      </x:c>
      <x:c r="J59" s="9" t="str">
        <x:v>No</x:v>
      </x:c>
      <x:c r="K59" s="9" t="str">
        <x:v>Yes</x:v>
      </x:c>
      <x:c r="L59" s="9" t="str">
        <x:v>No</x:v>
      </x:c>
      <x:c r="M59" s="9" t="str">
        <x:v>Beat 'em up</x:v>
      </x:c>
      <x:c r="N59" s="9" t="str">
        <x:v>Live-action</x:v>
      </x:c>
      <x:c r="O59" s="9" t="n">
        <x:v>2</x:v>
      </x:c>
      <x:c r="P59" s="9" t="str">
        <x:v>Cutscenes only</x:v>
      </x:c>
      <x:c r="Q59" s="9" t="str">
        <x:v>Released</x:v>
      </x:c>
      <x:c r="R59" s="9" t="str">
        <x:v>1993 film license</x:v>
      </x:c>
      <x:c r="S59" s="9" t="str">
        <x:v>Genesis, SNES, NES, Game Boy (no FMV)</x:v>
      </x:c>
      <x:c r="T59" s="9" t="str">
        <x:v>Sylvester Stallone (clips)</x:v>
      </x:c>
      <x:c r="U59" s="9" t="n">
        <x:v>1</x:v>
      </x:c>
      <x:c r="V59" s="9" t="str">
        <x:v>No</x:v>
      </x:c>
      <x:c r="W59" s="9" t="str">
        <x:v>Controller</x:v>
      </x:c>
      <x:c r="X59" s="9" t="str">
        <x:v>Med</x:v>
      </x:c>
      <x:c r="Y59" s="9" t="str">
        <x:v>Film clips</x:v>
      </x:c>
      <x:c r="Z59" s="9" t="str">
        <x:v>1 hr</x:v>
      </x:c>
      <x:c r="AA59" s="9" t="str">
        <x:v>Stallone's mountain movie as a beat-'em-up, with the movie's best scenes played at 10 fps.</x:v>
      </x:c>
      <x:c r="AB59" s="9" t="str">
        <x:v>Level skip: at the title, on controller 2, press Start, C, B, A, Right, Left, Right, Left ('Level Skip' appears); pause and press C to skip. Controller 2 at the title: A, B, C, Down, Up = snowboarding sequences only. (GameFAQs)</x:v>
      </x:c>
      <x:c r="AC59" s="9" t="str">
        <x:v>Film clips in a window between levels.</x:v>
      </x:c>
      <x:c r="AD59" s="9" t="str">
        <x:v>Hard — beat-'em-up with cheap hits.</x:v>
      </x:c>
      <x:c r="AE59" s="9" t="str">
        <x:v>Single ending.</x:v>
      </x:c>
      <x:c r="AF59" s="9" t="str">
        <x:v>Malibu Interactive (the comics company's game arm) developed; one of the lowest-rated Sega CD games.</x:v>
      </x:c>
      <x:c r="AG59" s="9" t="str">
        <x:v>US, PAL.</x:v>
      </x:c>
      <x:c r="AH59" s="9" t="str">
        <x:v>No</x:v>
      </x:c>
      <x:c r="AI59" s="9" t="str">
        <x:v>Easy</x:v>
      </x:c>
      <x:c r="AJ59" s="9"/>
      <x:c r="AK59" s="9" t="str">
        <x:v>Film clips between stages. Verify clip count; a modest amount of video.</x:v>
      </x:c>
      <x:c r="AL59" s="10" t="n">
        <x:v>9.75</x:v>
      </x:c>
      <x:c r="AM59" s="10" t="n">
        <x:v>23.86</x:v>
      </x:c>
      <x:c r="AN59" s="10" t="n">
        <x:v>70.43</x:v>
      </x:c>
      <x:c r="AO59" s="9" t="str">
        <x:v>2026-10-20</x:v>
      </x:c>
      <x:c r="AP59" s="11" t="str">
        <x:f>HYPERLINK("https://www.pricecharting.com/search-products?q=Cliffhanger+sega+cd&amp;type=prices","PriceCharting")</x:f>
        <x:v>PriceCharting</x:v>
      </x:c>
      <x:c r="AQ59" s="9"/>
      <x:c r="AR59" s="9"/>
      <x:c r="AS59" s="9"/>
      <x:c r="AT59" s="9"/>
      <x:c r="AU59" s="9"/>
      <x:c r="AV59" s="9"/>
      <x:c r="AW59" s="9" t="str">
        <x:v>3/10</x:v>
      </x:c>
      <x:c r="AX59" s="9" t="str">
        <x:f>HYPERLINK("https://www.sega-16.com/2007/07/1382/","Sega-16")</x:f>
        <x:v>Sega-16</x:v>
      </x:c>
      <x:c r="AY59" s="9" t="str">
        <x:v>49%</x:v>
      </x:c>
      <x:c r="AZ59" s="9"/>
      <x:c r="BA59" s="11" t="str">
        <x:f>HYPERLINK("https://www.mobygames.com/game/cliffhanger/mobyrank","MobyGames")</x:f>
        <x:v>MobyGames</x:v>
      </x:c>
      <x:c r="BB59" s="9"/>
      <x:c r="BC59" s="9"/>
      <x:c r="BD59" s="9"/>
      <x:c r="BE59" s="11" t="str">
        <x:f>HYPERLINK("https://en.wikipedia.org/wiki/Cliffhanger_(video_game)","Wikipedia")</x:f>
        <x:v>Wikipedia</x:v>
      </x:c>
      <x:c r="BF59" s="11" t="str">
        <x:f>HYPERLINK("https://backloggd.com/search/games/Cliffhanger/","Backloggd")</x:f>
        <x:v>Backloggd</x:v>
      </x:c>
      <x:c r="BG59" s="11" t="str">
        <x:f>HYPERLINK("https://segaretro.org/index.php?search=Cliffhanger","Sega Retro")</x:f>
        <x:v>Sega Retro</x:v>
      </x:c>
      <x:c r="BH59" s="9"/>
      <x:c r="BI59" s="12" t="str">
        <x:v>No</x:v>
      </x:c>
      <x:c r="BJ59" s="12" t="str"/>
      <x:c r="BK59" s="12" t="str">
        <x:v>No</x:v>
      </x:c>
      <x:c r="BL59" s="12" t="str"/>
      <x:c r="BM59" s="12" t="str"/>
      <x:c r="BN59" s="12" t="str"/>
      <x:c r="BO59" s="12" t="str"/>
      <x:c r="BP59" s="12" t="str"/>
      <x:c r="BQ59" s="12" t="str"/>
    </x:row>
    <x:row r="60">
      <x:c r="A60" s="9" t="str">
        <x:v>segacd-59</x:v>
      </x:c>
      <x:c r="B60" s="9" t="str">
        <x:v>the-amazing-spider-man-vs-the-kingpin</x:v>
      </x:c>
      <x:c r="C60" s="9" t="str">
        <x:v>Sega CD</x:v>
      </x:c>
      <x:c r="D60" s="9" t="str">
        <x:v>The Amazing Spider-Man vs. The Kingpin</x:v>
      </x:c>
      <x:c r="E60" s="9"/>
      <x:c r="F60" s="9" t="str">
        <x:v>Technopop</x:v>
      </x:c>
      <x:c r="G60" s="9" t="str">
        <x:v>Sega</x:v>
      </x:c>
      <x:c r="H60" s="9" t="n">
        <x:v>1993</x:v>
      </x:c>
      <x:c r="I60" s="9" t="str">
        <x:v>Yes</x:v>
      </x:c>
      <x:c r="J60" s="9" t="str">
        <x:v>No</x:v>
      </x:c>
      <x:c r="K60" s="9" t="str">
        <x:v>Yes</x:v>
      </x:c>
      <x:c r="L60" s="9" t="str">
        <x:v>No</x:v>
      </x:c>
      <x:c r="M60" s="9" t="str">
        <x:v>Platformer</x:v>
      </x:c>
      <x:c r="N60" s="9" t="str">
        <x:v>Animated</x:v>
      </x:c>
      <x:c r="O60" s="9" t="n">
        <x:v>2</x:v>
      </x:c>
      <x:c r="P60" s="9" t="str">
        <x:v>Cutscenes only</x:v>
      </x:c>
      <x:c r="Q60" s="9" t="str">
        <x:v>Released</x:v>
      </x:c>
      <x:c r="R60" s="9" t="str">
        <x:v>1991 Genesis game (expanded)</x:v>
      </x:c>
      <x:c r="S60" s="9" t="str">
        <x:v>Genesis, Game Gear, Master System (no FMV)</x:v>
      </x:c>
      <x:c r="T60" s="9" t="str">
        <x:v>Voice cast</x:v>
      </x:c>
      <x:c r="U60" s="9" t="n">
        <x:v>1</x:v>
      </x:c>
      <x:c r="V60" s="9" t="str">
        <x:v>Yes</x:v>
      </x:c>
      <x:c r="W60" s="9" t="str">
        <x:v>Controller</x:v>
      </x:c>
      <x:c r="X60" s="9" t="str">
        <x:v>Low</x:v>
      </x:c>
      <x:c r="Y60" s="9"/>
      <x:c r="Z60" s="9" t="str">
        <x:v>2–3 hr</x:v>
      </x:c>
      <x:c r="AA60" s="9" t="str">
        <x:v>The Genesis Spider-Man expanded with animated cutscenes, new levels and a vocal theme — the rare CD upgrade that's better.</x:v>
      </x:c>
      <x:c r="AB60" s="9" t="str">
        <x:v>Level passwords: 2 ELECTRO, 3 WALLABY, 4 GALLON66, 5 FALCON499, 6 HELPINHAND, 7 PUBLIC45, 8 KIDNEY2, 9 PENCIL6. Unlimited web: set Easy with A = punch, B = jump, C = web. Three endings depend on saving Mary Jane in the Kingpin fight. (GameFAQs)</x:v>
      </x:c>
      <x:c r="AC60" s="9" t="str">
        <x:v>Animated cutscenes in a window with voice acting.</x:v>
      </x:c>
      <x:c r="AD60" s="9" t="str">
        <x:v>Medium-hard — expanded from the Genesis game with new levels.</x:v>
      </x:c>
      <x:c r="AE60" s="9" t="str">
        <x:v>Single ending; bomb timer failure ending.</x:v>
      </x:c>
      <x:c r="AF60" s="9" t="str">
        <x:v>Technopop's CD edition adds Vulture and Mysterio levels, a save system and a vocal theme song.</x:v>
      </x:c>
      <x:c r="AG60" s="9" t="str">
        <x:v>US, PAL.</x:v>
      </x:c>
      <x:c r="AH60" s="9" t="str">
        <x:v>No</x:v>
      </x:c>
      <x:c r="AI60" s="9" t="str">
        <x:v>Easy</x:v>
      </x:c>
      <x:c r="AJ60" s="9"/>
      <x:c r="AK60" s="9" t="str">
        <x:v>Animated video cutscenes with voice acting added for the CD version.</x:v>
      </x:c>
      <x:c r="AL60" s="10" t="n">
        <x:v>23.75</x:v>
      </x:c>
      <x:c r="AM60" s="10" t="n">
        <x:v>73.49</x:v>
      </x:c>
      <x:c r="AN60" s="10" t="n">
        <x:v>189.49</x:v>
      </x:c>
      <x:c r="AO60" s="9" t="str">
        <x:v>2026-10-20</x:v>
      </x:c>
      <x:c r="AP60" s="11" t="str">
        <x:f>HYPERLINK("https://www.pricecharting.com/search-products?q=The+Amazing+Spider-Man+vs.+The+Kingpin+sega+cd&amp;type=prices","PriceCharting")</x:f>
        <x:v>PriceCharting</x:v>
      </x:c>
      <x:c r="AQ60" s="9"/>
      <x:c r="AR60" s="9"/>
      <x:c r="AS60" s="9"/>
      <x:c r="AT60" s="9"/>
      <x:c r="AU60" s="9"/>
      <x:c r="AV60" s="9"/>
      <x:c r="AW60" s="9" t="str">
        <x:v>9/10</x:v>
      </x:c>
      <x:c r="AX60" s="9" t="str">
        <x:f>HYPERLINK("https://sega-16.com/?p=2717","Sega-16")</x:f>
        <x:v>Sega-16</x:v>
      </x:c>
      <x:c r="AY60" s="9" t="str">
        <x:v>71%</x:v>
      </x:c>
      <x:c r="AZ60" s="9" t="str">
        <x:v>4.0</x:v>
      </x:c>
      <x:c r="BA60" s="11" t="str">
        <x:f>HYPERLINK("https://www.mobygames.com/game/45729/the-amazing-spider-man-vs-the-kingpin/","MobyGames")</x:f>
        <x:v>MobyGames</x:v>
      </x:c>
      <x:c r="BB60" s="9"/>
      <x:c r="BC60" s="9"/>
      <x:c r="BD60" s="9"/>
      <x:c r="BE60" s="9"/>
      <x:c r="BF60" s="11" t="str">
        <x:f>HYPERLINK("https://backloggd.com/search/games/The%20Amazing%20Spider-Man%20vs.%20The%20Kingpin/","Backloggd")</x:f>
        <x:v>Backloggd</x:v>
      </x:c>
      <x:c r="BG60" s="11" t="str">
        <x:f>HYPERLINK("https://segaretro.org/index.php?search=The+Amazing+Spider-Man+vs.+The+Kingpin","Sega Retro")</x:f>
        <x:v>Sega Retro</x:v>
      </x:c>
      <x:c r="BH60" s="9"/>
      <x:c r="BI60" s="12" t="str">
        <x:v>No</x:v>
      </x:c>
      <x:c r="BJ60" s="12" t="str"/>
      <x:c r="BK60" s="12" t="str">
        <x:v>No</x:v>
      </x:c>
      <x:c r="BL60" s="12" t="str"/>
      <x:c r="BM60" s="12" t="str"/>
      <x:c r="BN60" s="12" t="str"/>
      <x:c r="BO60" s="12" t="str"/>
      <x:c r="BP60" s="12" t="str"/>
      <x:c r="BQ60" s="12" t="str"/>
    </x:row>
    <x:row r="61">
      <x:c r="A61" s="9" t="str">
        <x:v>segacd-60</x:v>
      </x:c>
      <x:c r="B61" s="9" t="str">
        <x:v>sonic-the-hedgehog-cd</x:v>
      </x:c>
      <x:c r="C61" s="9" t="str">
        <x:v>Sega CD</x:v>
      </x:c>
      <x:c r="D61" s="9" t="str">
        <x:v>Sonic the Hedgehog CD</x:v>
      </x:c>
      <x:c r="E61" s="9" t="str">
        <x:v>Sonic CD</x:v>
      </x:c>
      <x:c r="F61" s="9" t="str">
        <x:v>Sega</x:v>
      </x:c>
      <x:c r="G61" s="9" t="str">
        <x:v>Sega</x:v>
      </x:c>
      <x:c r="H61" s="9" t="n">
        <x:v>1993</x:v>
      </x:c>
      <x:c r="I61" s="9" t="str">
        <x:v>Yes</x:v>
      </x:c>
      <x:c r="J61" s="9" t="str">
        <x:v>Yes</x:v>
      </x:c>
      <x:c r="K61" s="9" t="str">
        <x:v>Yes</x:v>
      </x:c>
      <x:c r="L61" s="9" t="str">
        <x:v>No</x:v>
      </x:c>
      <x:c r="M61" s="9" t="str">
        <x:v>Platformer</x:v>
      </x:c>
      <x:c r="N61" s="9" t="str">
        <x:v>Animated</x:v>
      </x:c>
      <x:c r="O61" s="9" t="n">
        <x:v>1</x:v>
      </x:c>
      <x:c r="P61" s="9" t="str">
        <x:v>Cutscenes only</x:v>
      </x:c>
      <x:c r="Q61" s="9" t="str">
        <x:v>Released</x:v>
      </x:c>
      <x:c r="R61" s="9" t="str">
        <x:v>Original</x:v>
      </x:c>
      <x:c r="S61" s="9" t="str">
        <x:v>PC, Sonic Gems Collection, 2011 remaster (everything)</x:v>
      </x:c>
      <x:c r="T61" s="9" t="str">
        <x:v>—</x:v>
      </x:c>
      <x:c r="U61" s="9" t="n">
        <x:v>1</x:v>
      </x:c>
      <x:c r="V61" s="9" t="str">
        <x:v>Yes</x:v>
      </x:c>
      <x:c r="W61" s="9" t="str">
        <x:v>Controller</x:v>
      </x:c>
      <x:c r="X61" s="9" t="str">
        <x:v>Med</x:v>
      </x:c>
      <x:c r="Y61" s="9" t="str">
        <x:v>Toei intro/ending animation, 'Sonic Boom' / JP vocal themes</x:v>
      </x:c>
      <x:c r="Z61" s="9" t="str">
        <x:v>1–3 hr</x:v>
      </x:c>
      <x:c r="AA61" s="9" t="str">
        <x:v>The best-selling Sega CD game, with an opening cartoon that is still the console's signature video moment.</x:v>
      </x:c>
      <x:c r="AB61" s="9" t="str">
        <x:v>Sound-test codes unlock the 'secret' screens (incl. the infamous 'Fun is infinite' screen) — well documented.</x:v>
      </x:c>
      <x:c r="AC61" s="9" t="str">
        <x:v>Full-screen animated intro/ending at ~15 fps; the only clean-looking video on the system because it's animation designed for it.</x:v>
      </x:c>
      <x:c r="AD61" s="9" t="str">
        <x:v>Medium.</x:v>
      </x:c>
      <x:c r="AE61" s="9" t="str">
        <x:v>Good and bad endings (collect all Time Stones).</x:v>
      </x:c>
      <x:c r="AF61" s="9" t="str">
        <x:v>Intro/ending animated by Toei (Studio Junio); the US release swapped the JP vocal songs for Spencer Nilsen's score and 'Sonic Boom'.</x:v>
      </x:c>
      <x:c r="AG61" s="9" t="str">
        <x:v>US, PAL, JP; US Not-For-Resale pack-in version.</x:v>
      </x:c>
      <x:c r="AH61" s="9" t="str">
        <x:v>Yes (Sonic CD 2011 remaster on everything; Sonic Origins)</x:v>
      </x:c>
      <x:c r="AI61" s="9" t="str">
        <x:v>Easy</x:v>
      </x:c>
      <x:c r="AJ61" s="9"/>
      <x:c r="AK61" s="9" t="str">
        <x:v>Animated intro and ending movies by Toei/Studio Junio. JP Sept, EU Oct, NA Nov 1993.</x:v>
      </x:c>
      <x:c r="AL61" s="10" t="n">
        <x:v>52.97</x:v>
      </x:c>
      <x:c r="AM61" s="10" t="n">
        <x:v>99.95</x:v>
      </x:c>
      <x:c r="AN61" s="10" t="n">
        <x:v>255.9</x:v>
      </x:c>
      <x:c r="AO61" s="9" t="str">
        <x:v>2026-10-20</x:v>
      </x:c>
      <x:c r="AP61" s="11" t="str">
        <x:f>HYPERLINK("https://www.pricecharting.com/search-products?q=Sonic+the+Hedgehog+CD+sega+cd&amp;type=prices","PriceCharting")</x:f>
        <x:v>PriceCharting</x:v>
      </x:c>
      <x:c r="AQ61" s="9"/>
      <x:c r="AR61" s="9"/>
      <x:c r="AS61" s="9"/>
      <x:c r="AT61" s="9"/>
      <x:c r="AU61" s="9"/>
      <x:c r="AV61" s="9"/>
      <x:c r="AW61" s="9" t="str">
        <x:v>9/10</x:v>
      </x:c>
      <x:c r="AX61" s="9" t="str">
        <x:f>HYPERLINK("https://www.sega-16.com/?p=2679","Sega-16")</x:f>
        <x:v>Sega-16</x:v>
      </x:c>
      <x:c r="AY61" s="9"/>
      <x:c r="AZ61" s="9" t="str">
        <x:v>4.1</x:v>
      </x:c>
      <x:c r="BA61" s="11" t="str">
        <x:f>HYPERLINK("https://www.mobygames.com/game/sonic-cd/mobyrank","MobyGames")</x:f>
        <x:v>MobyGames</x:v>
      </x:c>
      <x:c r="BB61" s="9"/>
      <x:c r="BC61" s="9"/>
      <x:c r="BD61" s="9"/>
      <x:c r="BE61" s="11" t="str">
        <x:f>HYPERLINK("https://en.wikipedia.org/wiki/Sonic_CD","Wikipedia")</x:f>
        <x:v>Wikipedia</x:v>
      </x:c>
      <x:c r="BF61" s="11" t="str">
        <x:f>HYPERLINK("https://backloggd.com/search/games/Sonic%20the%20Hedgehog%20CD/","Backloggd")</x:f>
        <x:v>Backloggd</x:v>
      </x:c>
      <x:c r="BG61" s="11" t="str">
        <x:f>HYPERLINK("https://segaretro.org/index.php?search=Sonic+the+Hedgehog+CD","Sega Retro")</x:f>
        <x:v>Sega Retro</x:v>
      </x:c>
      <x:c r="BH61" s="9"/>
      <x:c r="BI61" s="12" t="str">
        <x:v>No</x:v>
      </x:c>
      <x:c r="BJ61" s="12" t="str"/>
      <x:c r="BK61" s="12" t="str">
        <x:v>No</x:v>
      </x:c>
      <x:c r="BL61" s="12" t="str"/>
      <x:c r="BM61" s="12" t="str"/>
      <x:c r="BN61" s="12" t="str"/>
      <x:c r="BO61" s="12" t="str"/>
      <x:c r="BP61" s="12" t="str"/>
      <x:c r="BQ61" s="12" t="str"/>
    </x:row>
    <x:row r="62">
      <x:c r="A62" s="9" t="str">
        <x:v>segacd-61</x:v>
      </x:c>
      <x:c r="B62" s="9" t="str">
        <x:v>mortal-kombat</x:v>
      </x:c>
      <x:c r="C62" s="9" t="str">
        <x:v>Sega CD</x:v>
      </x:c>
      <x:c r="D62" s="9" t="str">
        <x:v>Mortal Kombat</x:v>
      </x:c>
      <x:c r="E62" s="9"/>
      <x:c r="F62" s="9" t="str">
        <x:v>Probe Software</x:v>
      </x:c>
      <x:c r="G62" s="9" t="str">
        <x:v>Arena Entertainment</x:v>
      </x:c>
      <x:c r="H62" s="9" t="n">
        <x:v>1994</x:v>
      </x:c>
      <x:c r="I62" s="9" t="str">
        <x:v>Yes</x:v>
      </x:c>
      <x:c r="J62" s="9" t="str">
        <x:v>No</x:v>
      </x:c>
      <x:c r="K62" s="9" t="str">
        <x:v>Yes</x:v>
      </x:c>
      <x:c r="L62" s="9" t="str">
        <x:v>No</x:v>
      </x:c>
      <x:c r="M62" s="9" t="str">
        <x:v>Fighting</x:v>
      </x:c>
      <x:c r="N62" s="9" t="str">
        <x:v>Live-action</x:v>
      </x:c>
      <x:c r="O62" s="9" t="n">
        <x:v>1</x:v>
      </x:c>
      <x:c r="P62" s="9" t="str">
        <x:v>Cutscenes only</x:v>
      </x:c>
      <x:c r="Q62" s="9" t="str">
        <x:v>Released</x:v>
      </x:c>
      <x:c r="R62" s="9" t="str">
        <x:v>1992 arcade game</x:v>
      </x:c>
      <x:c r="S62" s="9" t="str">
        <x:v>Everything</x:v>
      </x:c>
      <x:c r="T62" s="9" t="str">
        <x:v>—</x:v>
      </x:c>
      <x:c r="U62" s="9" t="n">
        <x:v>1</x:v>
      </x:c>
      <x:c r="V62" s="9" t="str">
        <x:v>No</x:v>
      </x:c>
      <x:c r="W62" s="9" t="str">
        <x:v>Controller</x:v>
      </x:c>
      <x:c r="X62" s="9" t="str">
        <x:v>Low–Med</x:v>
      </x:c>
      <x:c r="Y62" s="9" t="str">
        <x:v>'Mortal Monday' TV spot</x:v>
      </x:c>
      <x:c r="Z62" s="9" t="str">
        <x:v>30–60 min</x:v>
      </x:c>
      <x:c r="AA62" s="9" t="str">
        <x:v>The Genesis Mortal Kombat with CD audio and the 'Mortal Monday' TV ad as its intro — a 30-second episode's worth of FMV.</x:v>
      </x:c>
      <x:c r="AB62" s="9" t="str">
        <x:v>Blood code and standard MK1 codes apply; cheat menu code exists (verify).</x:v>
      </x:c>
      <x:c r="AC62" s="9" t="str">
        <x:v>The 'Mortal Monday' commercial plays as a full-screen intro.</x:v>
      </x:c>
      <x:c r="AD62" s="9" t="str">
        <x:v>Medium.</x:v>
      </x:c>
      <x:c r="AE62" s="9" t="str">
        <x:v>Per-character endings.</x:v>
      </x:c>
      <x:c r="AF62" s="9" t="str">
        <x:v>Arena/Acclaim's CD version is otherwise identical to the cart; loading times were widely mocked.</x:v>
      </x:c>
      <x:c r="AG62" s="9" t="str">
        <x:v>US, PAL.</x:v>
      </x:c>
      <x:c r="AH62" s="9" t="str">
        <x:v>Yes (MK1 on every modern platform)</x:v>
      </x:c>
      <x:c r="AI62" s="9" t="str">
        <x:v>Easy</x:v>
      </x:c>
      <x:c r="AJ62" s="9"/>
      <x:c r="AK62" s="9" t="str">
        <x:v>Includes the 'Mortal Monday' TV commercial as an FMV intro; otherwise the Genesis game with CD audio.</x:v>
      </x:c>
      <x:c r="AL62" s="10" t="n">
        <x:v>25.24</x:v>
      </x:c>
      <x:c r="AM62" s="10" t="n">
        <x:v>45</x:v>
      </x:c>
      <x:c r="AN62" s="10" t="n">
        <x:v>135.89</x:v>
      </x:c>
      <x:c r="AO62" s="9" t="str">
        <x:v>2026-10-20</x:v>
      </x:c>
      <x:c r="AP62" s="11" t="str">
        <x:f>HYPERLINK("https://www.pricecharting.com/search-products?q=Mortal+Kombat+sega+cd&amp;type=prices","PriceCharting")</x:f>
        <x:v>PriceCharting</x:v>
      </x:c>
      <x:c r="AQ62" s="9"/>
      <x:c r="AR62" s="9"/>
      <x:c r="AS62" s="9"/>
      <x:c r="AT62" s="9"/>
      <x:c r="AU62" s="9"/>
      <x:c r="AV62" s="9"/>
      <x:c r="AW62" s="9" t="str">
        <x:v>6/10</x:v>
      </x:c>
      <x:c r="AX62" s="9" t="str">
        <x:f>HYPERLINK("https://www.sega-16.com/?p=2261","Sega-16")</x:f>
        <x:v>Sega-16</x:v>
      </x:c>
      <x:c r="AY62" s="9" t="str">
        <x:v>78%</x:v>
      </x:c>
      <x:c r="AZ62" s="9" t="str">
        <x:v>3.6</x:v>
      </x:c>
      <x:c r="BA62" s="11" t="str">
        <x:f>HYPERLINK("https://www.mobygames.com/game/mortal-kombat/","MobyGames")</x:f>
        <x:v>MobyGames</x:v>
      </x:c>
      <x:c r="BB62" s="9"/>
      <x:c r="BC62" s="9"/>
      <x:c r="BD62" s="9"/>
      <x:c r="BE62" s="11" t="str">
        <x:f>HYPERLINK("https://en.wikipedia.org/wiki/Mortal_Kombat_(1992_video_game)","Wikipedia")</x:f>
        <x:v>Wikipedia</x:v>
      </x:c>
      <x:c r="BF62" s="11" t="str">
        <x:f>HYPERLINK("https://backloggd.com/search/games/Mortal%20Kombat/","Backloggd")</x:f>
        <x:v>Backloggd</x:v>
      </x:c>
      <x:c r="BG62" s="11" t="str">
        <x:f>HYPERLINK("https://segaretro.org/index.php?search=Mortal+Kombat","Sega Retro")</x:f>
        <x:v>Sega Retro</x:v>
      </x:c>
      <x:c r="BH62" s="9"/>
      <x:c r="BI62" s="12" t="str">
        <x:v>No</x:v>
      </x:c>
      <x:c r="BJ62" s="12" t="str"/>
      <x:c r="BK62" s="12" t="str">
        <x:v>No</x:v>
      </x:c>
      <x:c r="BL62" s="12" t="str"/>
      <x:c r="BM62" s="12" t="str"/>
      <x:c r="BN62" s="12" t="str"/>
      <x:c r="BO62" s="12" t="str"/>
      <x:c r="BP62" s="12" t="str"/>
      <x:c r="BQ62" s="12" t="str"/>
    </x:row>
    <x:row r="63">
      <x:c r="A63" s="9" t="str">
        <x:v>segacd-62</x:v>
      </x:c>
      <x:c r="B63" s="9" t="str">
        <x:v>wwf-rage-in-the-cage</x:v>
      </x:c>
      <x:c r="C63" s="9" t="str">
        <x:v>Sega CD</x:v>
      </x:c>
      <x:c r="D63" s="9" t="str">
        <x:v>WWF Rage in the Cage</x:v>
      </x:c>
      <x:c r="E63" s="9"/>
      <x:c r="F63" s="9" t="str">
        <x:v>Sculptured Software</x:v>
      </x:c>
      <x:c r="G63" s="9" t="str">
        <x:v>Arena Entertainment</x:v>
      </x:c>
      <x:c r="H63" s="9" t="n">
        <x:v>1993</x:v>
      </x:c>
      <x:c r="I63" s="9" t="str">
        <x:v>Yes</x:v>
      </x:c>
      <x:c r="J63" s="9" t="str">
        <x:v>No</x:v>
      </x:c>
      <x:c r="K63" s="9" t="str">
        <x:v>Yes</x:v>
      </x:c>
      <x:c r="L63" s="9" t="str">
        <x:v>No</x:v>
      </x:c>
      <x:c r="M63" s="9" t="str">
        <x:v>Wrestling</x:v>
      </x:c>
      <x:c r="N63" s="9" t="str">
        <x:v>Live-action</x:v>
      </x:c>
      <x:c r="O63" s="9" t="n">
        <x:v>2</x:v>
      </x:c>
      <x:c r="P63" s="9" t="str">
        <x:v>Cutscenes only</x:v>
      </x:c>
      <x:c r="Q63" s="9" t="str">
        <x:v>Released</x:v>
      </x:c>
      <x:c r="R63" s="9" t="str">
        <x:v>1993 Genesis game ('Royal Rumble' engine)</x:v>
      </x:c>
      <x:c r="S63" s="9" t="str">
        <x:v>Sega CD only (as this version)</x:v>
      </x:c>
      <x:c r="T63" s="9" t="str">
        <x:v>20 WWF wrestlers (Bret Hart, Undertaker, etc.)</x:v>
      </x:c>
      <x:c r="U63" s="9" t="n">
        <x:v>1</x:v>
      </x:c>
      <x:c r="V63" s="9" t="str">
        <x:v>No</x:v>
      </x:c>
      <x:c r="W63" s="9" t="str">
        <x:v>Controller</x:v>
      </x:c>
      <x:c r="X63" s="9" t="str">
        <x:v>Med</x:v>
      </x:c>
      <x:c r="Y63" s="9" t="str">
        <x:v>WWF/WWE footage &amp; entrance music</x:v>
      </x:c>
      <x:c r="Z63" s="9" t="str">
        <x:v>30–60 min</x:v>
      </x:c>
      <x:c r="AA63" s="9" t="str">
        <x:v>Twenty 1993 WWF wrestlers with their real entrance videos, in the Royal Rumble engine, with a cage.</x:v>
      </x:c>
      <x:c r="AB63" s="9" t="str">
        <x:v>None known.</x:v>
      </x:c>
      <x:c r="AC63" s="9" t="str">
        <x:v>Wrestler entrance/profile videos in a window.</x:v>
      </x:c>
      <x:c r="AD63" s="9" t="str">
        <x:v>Medium.</x:v>
      </x:c>
      <x:c r="AE63" s="9" t="str">
        <x:v>None; tournament/exhibition.</x:v>
      </x:c>
      <x:c r="AF63" s="9" t="str">
        <x:v>Roster includes Bret Hart, Undertaker, Yokozuna, Razor Ramon; the only WWF game on Sega CD.</x:v>
      </x:c>
      <x:c r="AG63" s="9" t="str">
        <x:v>US, PAL.</x:v>
      </x:c>
      <x:c r="AH63" s="9" t="str">
        <x:v>No</x:v>
      </x:c>
      <x:c r="AI63" s="9" t="str">
        <x:v>Easy</x:v>
      </x:c>
      <x:c r="AJ63" s="9"/>
      <x:c r="AK63" s="9" t="str">
        <x:v>Short FMV entrance/profile videos for each wrestler.</x:v>
      </x:c>
      <x:c r="AL63" s="10" t="n">
        <x:v>20.89</x:v>
      </x:c>
      <x:c r="AM63" s="10" t="n">
        <x:v>36.05</x:v>
      </x:c>
      <x:c r="AN63" s="10" t="n">
        <x:v>83.49</x:v>
      </x:c>
      <x:c r="AO63" s="9" t="str">
        <x:v>2026-10-20</x:v>
      </x:c>
      <x:c r="AP63" s="11" t="str">
        <x:f>HYPERLINK("https://www.pricecharting.com/search-products?q=WWF+Rage+in+the+Cage+sega+cd&amp;type=prices","PriceCharting")</x:f>
        <x:v>PriceCharting</x:v>
      </x:c>
      <x:c r="AQ63" s="9"/>
      <x:c r="AR63" s="9"/>
      <x:c r="AS63" s="9"/>
      <x:c r="AT63" s="9"/>
      <x:c r="AU63" s="9"/>
      <x:c r="AV63" s="9"/>
      <x:c r="AW63" s="9" t="str">
        <x:v>5/10</x:v>
      </x:c>
      <x:c r="AX63" s="9" t="str">
        <x:f>HYPERLINK("https://www.sega-16.com/?p=10402","Sega-16")</x:f>
        <x:v>Sega-16</x:v>
      </x:c>
      <x:c r="AY63" s="9" t="str">
        <x:v>78%</x:v>
      </x:c>
      <x:c r="AZ63" s="9" t="str">
        <x:v>2.9</x:v>
      </x:c>
      <x:c r="BA63" s="11" t="str">
        <x:f>HYPERLINK("https://www.mobygames.com/game/40116","MobyGames")</x:f>
        <x:v>MobyGames</x:v>
      </x:c>
      <x:c r="BB63" s="9"/>
      <x:c r="BC63" s="9"/>
      <x:c r="BD63" s="9"/>
      <x:c r="BE63" s="11" t="str">
        <x:f>HYPERLINK("https://en.wikipedia.org/wiki/WWF_Rage_in_the_Cage","Wikipedia")</x:f>
        <x:v>Wikipedia</x:v>
      </x:c>
      <x:c r="BF63" s="11" t="str">
        <x:f>HYPERLINK("https://backloggd.com/search/games/WWF%20Rage%20in%20the%20Cage/","Backloggd")</x:f>
        <x:v>Backloggd</x:v>
      </x:c>
      <x:c r="BG63" s="11" t="str">
        <x:f>HYPERLINK("https://segaretro.org/index.php?search=WWF+Rage+in+the+Cage","Sega Retro")</x:f>
        <x:v>Sega Retro</x:v>
      </x:c>
      <x:c r="BH63" s="9"/>
      <x:c r="BI63" s="12" t="str">
        <x:v>No</x:v>
      </x:c>
      <x:c r="BJ63" s="12" t="str"/>
      <x:c r="BK63" s="12" t="str">
        <x:v>No</x:v>
      </x:c>
      <x:c r="BL63" s="12" t="str"/>
      <x:c r="BM63" s="12" t="str"/>
      <x:c r="BN63" s="12" t="str"/>
      <x:c r="BO63" s="12" t="str"/>
      <x:c r="BP63" s="12" t="str"/>
      <x:c r="BQ63" s="12" t="str"/>
    </x:row>
    <x:row r="64">
      <x:c r="A64" s="9" t="str">
        <x:v>segacd-63</x:v>
      </x:c>
      <x:c r="B64" s="9" t="str">
        <x:v>citizen-x</x:v>
      </x:c>
      <x:c r="C64" s="9" t="str">
        <x:v>Sega CD</x:v>
      </x:c>
      <x:c r="D64" s="9" t="str">
        <x:v>Citizen X</x:v>
      </x:c>
      <x:c r="E64" s="9"/>
      <x:c r="F64" s="9" t="str">
        <x:v>Digital Pictures</x:v>
      </x:c>
      <x:c r="G64" s="9" t="str">
        <x:v>Good Deal Games (2002 release)</x:v>
      </x:c>
      <x:c r="H64" s="9" t="n">
        <x:v>2002</x:v>
      </x:c>
      <x:c r="I64" s="9" t="str">
        <x:v>Yes</x:v>
      </x:c>
      <x:c r="J64" s="9" t="str">
        <x:v>No</x:v>
      </x:c>
      <x:c r="K64" s="9" t="str">
        <x:v>No</x:v>
      </x:c>
      <x:c r="L64" s="9" t="str">
        <x:v>No</x:v>
      </x:c>
      <x:c r="M64" s="9" t="str">
        <x:v>Platformer</x:v>
      </x:c>
      <x:c r="N64" s="9" t="str">
        <x:v>Live-action</x:v>
      </x:c>
      <x:c r="O64" s="9" t="n">
        <x:v>4</x:v>
      </x:c>
      <x:c r="P64" s="9" t="str">
        <x:v>Post-cancellation release</x:v>
      </x:c>
      <x:c r="Q64" s="9" t="str">
        <x:v>Released post-cancellation</x:v>
      </x:c>
      <x:c r="R64" s="9" t="str">
        <x:v>Original (Digital Pictures / Hasbro)</x:v>
      </x:c>
      <x:c r="S64" s="9" t="str">
        <x:v>Sega CD only</x:v>
      </x:c>
      <x:c r="T64" s="9" t="str">
        <x:v>—</x:v>
      </x:c>
      <x:c r="U64" s="9" t="n">
        <x:v>1</x:v>
      </x:c>
      <x:c r="V64" s="9" t="str">
        <x:v>No</x:v>
      </x:c>
      <x:c r="W64" s="9" t="str">
        <x:v>Controller</x:v>
      </x:c>
      <x:c r="X64" s="9" t="str">
        <x:v>Low</x:v>
      </x:c>
      <x:c r="Y64" s="9"/>
      <x:c r="Z64" s="9" t="str">
        <x:v>15–30 min (15-minute timer)</x:v>
      </x:c>
      <x:c r="AA64" s="9" t="str">
        <x:v>A Digital Pictures game that was finished in 1993, shelved, and sold in 2002 by a fan publisher — with a 15-minute time limit.</x:v>
      </x:c>
      <x:c r="AB64" s="9" t="str">
        <x:v>Unknown; the released beta has no documented codes.</x:v>
      </x:c>
      <x:c r="AC64" s="9" t="str">
        <x:v>FMV cut-ins in a window; the platform game is sprites.</x:v>
      </x:c>
      <x:c r="AD64" s="9" t="str">
        <x:v>Hard — a 15-minute real-time limit for the whole game.</x:v>
      </x:c>
      <x:c r="AE64" s="9" t="str">
        <x:v>Win (bomb defused) or lose (timer).</x:v>
      </x:c>
      <x:c r="AF64" s="9" t="str">
        <x:v>Good Deal Games released the near-final beta with Digital Pictures' blessing; it's unlicensed by Sega. Hasbro co-produced.</x:v>
      </x:c>
      <x:c r="AG64" s="9" t="str">
        <x:v>Good Deal Games 2002 release only (jewel case, no official Sega branding).</x:v>
      </x:c>
      <x:c r="AH64" s="9" t="str">
        <x:v>No</x:v>
      </x:c>
      <x:c r="AI64" s="9" t="str">
        <x:v>Easy</x:v>
      </x:c>
      <x:c r="AJ64" s="9"/>
      <x:c r="AK64" s="9" t="str">
        <x:v>Built 1993, cancelled, then sold commercially by Good Deal Games in 2002 as a near-complete beta. Side-scroller with FMV cut-ins. Pricey on the secondary market. PRICE: PriceCharting lists it but has no recorded sales; recent eBay asks $150-300 CIB.</x:v>
      </x:c>
      <x:c r="AL64" s="10"/>
      <x:c r="AM64" s="10"/>
      <x:c r="AN64" s="10"/>
      <x:c r="AO64" s="9"/>
      <x:c r="AP64" s="11" t="str">
        <x:f>HYPERLINK("https://www.pricecharting.com/game/sega-cd/citizen-x-beta-homebrew","PriceCharting")</x:f>
        <x:v>PriceCharting</x:v>
      </x:c>
      <x:c r="AQ64" s="9"/>
      <x:c r="AR64" s="9"/>
      <x:c r="AS64" s="9"/>
      <x:c r="AT64" s="9"/>
      <x:c r="AU64" s="9"/>
      <x:c r="AV64" s="9"/>
      <x:c r="AW64" s="9" t="str">
        <x:v>5/10</x:v>
      </x:c>
      <x:c r="AX64" s="9" t="str">
        <x:f>HYPERLINK("https://www.sega-16.com/2008/01/citizen-x/","Sega-16")</x:f>
        <x:v>Sega-16</x:v>
      </x:c>
      <x:c r="AY64" s="9"/>
      <x:c r="AZ64" s="9" t="str">
        <x:v>2.6</x:v>
      </x:c>
      <x:c r="BA64" s="11" t="str">
        <x:f>HYPERLINK("https://www.mobygames.com/game/sega-cd/citizen-x","MobyGames")</x:f>
        <x:v>MobyGames</x:v>
      </x:c>
      <x:c r="BB64" s="9"/>
      <x:c r="BC64" s="9"/>
      <x:c r="BD64" s="9"/>
      <x:c r="BE64" s="9"/>
      <x:c r="BF64" s="11" t="str">
        <x:f>HYPERLINK("https://backloggd.com/search/games/Citizen%20X/","Backloggd")</x:f>
        <x:v>Backloggd</x:v>
      </x:c>
      <x:c r="BG64" s="11" t="str">
        <x:f>HYPERLINK("https://segaretro.org/index.php?search=Citizen+X","Sega Retro")</x:f>
        <x:v>Sega Retro</x:v>
      </x:c>
      <x:c r="BH64" s="9"/>
      <x:c r="BI64" s="12" t="str">
        <x:v>No</x:v>
      </x:c>
      <x:c r="BJ64" s="12" t="str"/>
      <x:c r="BK64" s="12" t="str">
        <x:v>No</x:v>
      </x:c>
      <x:c r="BL64" s="12" t="str"/>
      <x:c r="BM64" s="12" t="str"/>
      <x:c r="BN64" s="12" t="str"/>
      <x:c r="BO64" s="12" t="str"/>
      <x:c r="BP64" s="12" t="str"/>
      <x:c r="BQ64" s="12" t="str"/>
    </x:row>
    <x:row r="65">
      <x:c r="A65" s="9" t="str">
        <x:v>segacd-64</x:v>
      </x:c>
      <x:c r="B65" s="9" t="str">
        <x:v>bug-blasters-the-exterminators</x:v>
      </x:c>
      <x:c r="C65" s="9" t="str">
        <x:v>Sega CD</x:v>
      </x:c>
      <x:c r="D65" s="9" t="str">
        <x:v>Bug Blasters: The Exterminators</x:v>
      </x:c>
      <x:c r="E65" s="9" t="str">
        <x:v>The Exterminators</x:v>
      </x:c>
      <x:c r="F65" s="9" t="str">
        <x:v>Digital Pictures</x:v>
      </x:c>
      <x:c r="G65" s="9" t="str">
        <x:v>Good Deal Games (2001 release; planned Sony Imagesoft)</x:v>
      </x:c>
      <x:c r="H65" s="9" t="n">
        <x:v>2001</x:v>
      </x:c>
      <x:c r="I65" s="9" t="str">
        <x:v>Yes</x:v>
      </x:c>
      <x:c r="J65" s="9" t="str">
        <x:v>No</x:v>
      </x:c>
      <x:c r="K65" s="9" t="str">
        <x:v>No</x:v>
      </x:c>
      <x:c r="L65" s="9" t="str">
        <x:v>No</x:v>
      </x:c>
      <x:c r="M65" s="9" t="str">
        <x:v>Rail shooter</x:v>
      </x:c>
      <x:c r="N65" s="9" t="str">
        <x:v>Live-action</x:v>
      </x:c>
      <x:c r="O65" s="9" t="n">
        <x:v>10</x:v>
      </x:c>
      <x:c r="P65" s="9" t="str">
        <x:v>Post-cancellation release</x:v>
      </x:c>
      <x:c r="Q65" s="9" t="str">
        <x:v>Released post-cancellation</x:v>
      </x:c>
      <x:c r="R65" s="9" t="str">
        <x:v>Original</x:v>
      </x:c>
      <x:c r="S65" s="9" t="str">
        <x:v>Sega CD only</x:v>
      </x:c>
      <x:c r="T65" s="9" t="str">
        <x:v>—</x:v>
      </x:c>
      <x:c r="U65" s="9" t="n">
        <x:v>1</x:v>
      </x:c>
      <x:c r="V65" s="9" t="str">
        <x:v>No</x:v>
      </x:c>
      <x:c r="W65" s="9" t="str">
        <x:v>Controller</x:v>
      </x:c>
      <x:c r="X65" s="9" t="str">
        <x:v>Low</x:v>
      </x:c>
      <x:c r="Y65" s="9"/>
      <x:c r="Z65" s="9" t="str">
        <x:v>45 min</x:v>
      </x:c>
      <x:c r="AA65" s="9" t="str">
        <x:v>Ghostbusters-with-bugs, shelved in 1995, released in 2001, and the star of AGDQ 2026's Awful Block.</x:v>
      </x:c>
      <x:c r="AB65" s="9" t="str">
        <x:v>Difficulty settings; no codes documented.</x:v>
      </x:c>
      <x:c r="AC65" s="9" t="str">
        <x:v>Full-screen, ~10 fps; even by Sega CD standards the video is murky.</x:v>
      </x:c>
      <x:c r="AD65" s="9" t="str">
        <x:v>Very hard — many players report it is barely finishable on real hardware.</x:v>
      </x:c>
      <x:c r="AE65" s="9" t="str">
        <x:v>Single ending.</x:v>
      </x:c>
      <x:c r="AF65" s="9" t="str">
        <x:v>Sony Imagesoft was to publish it as 'The Exterminators'; Good Deal Games renamed it. Shown at Summer CES 1994.</x:v>
      </x:c>
      <x:c r="AG65" s="9" t="str">
        <x:v>Good Deal Games 2001 release only.</x:v>
      </x:c>
      <x:c r="AH65" s="9" t="str">
        <x:v>No</x:v>
      </x:c>
      <x:c r="AI65" s="9" t="str">
        <x:v>Easy</x:v>
      </x:c>
      <x:c r="AJ65" s="9"/>
      <x:c r="AK65" s="9" t="str">
        <x:v>Completed 1995, shelved, then sold by Good Deal Games in 2001. Ghostbusters-style bug exterminators. Typically $150-250 CIB.</x:v>
      </x:c>
      <x:c r="AL65" s="10"/>
      <x:c r="AM65" s="10" t="n">
        <x:v>192.49</x:v>
      </x:c>
      <x:c r="AN65" s="10"/>
      <x:c r="AO65" s="9" t="str">
        <x:v>2026-10-20</x:v>
      </x:c>
      <x:c r="AP65" s="11" t="str">
        <x:f>HYPERLINK("https://www.pricecharting.com/search-products?q=Bug+Blasters%3A+The+Exterminators+sega+cd&amp;type=prices","PriceCharting")</x:f>
        <x:v>PriceCharting</x:v>
      </x:c>
      <x:c r="AQ65" s="9"/>
      <x:c r="AR65" s="9"/>
      <x:c r="AS65" s="9"/>
      <x:c r="AT65" s="9"/>
      <x:c r="AU65" s="9"/>
      <x:c r="AV65" s="9"/>
      <x:c r="AW65" s="9" t="str">
        <x:v>2/10</x:v>
      </x:c>
      <x:c r="AX65" s="9" t="str">
        <x:f>HYPERLINK("https://www.sega-16.com/?p=1320","Sega-16")</x:f>
        <x:v>Sega-16</x:v>
      </x:c>
      <x:c r="AY65" s="9"/>
      <x:c r="AZ65" s="9"/>
      <x:c r="BA65" s="11" t="str">
        <x:f>HYPERLINK("https://www.mobygames.com/search/?q=Bug+Blasters%3A+The+Exterminators","MobyGames")</x:f>
        <x:v>MobyGames</x:v>
      </x:c>
      <x:c r="BB65" s="9"/>
      <x:c r="BC65" s="9"/>
      <x:c r="BD65" s="9"/>
      <x:c r="BE65" s="9"/>
      <x:c r="BF65" s="11" t="str">
        <x:f>HYPERLINK("https://backloggd.com/search/games/Bug%20Blasters%3A%20The%20Exterminators/","Backloggd")</x:f>
        <x:v>Backloggd</x:v>
      </x:c>
      <x:c r="BG65" s="11" t="str">
        <x:f>HYPERLINK("https://segaretro.org/index.php?search=Bug+Blasters%3A+The+Exterminators","Sega Retro")</x:f>
        <x:v>Sega Retro</x:v>
      </x:c>
      <x:c r="BH65" s="9"/>
      <x:c r="BI65" s="12" t="str">
        <x:v>No</x:v>
      </x:c>
      <x:c r="BJ65" s="12" t="str"/>
      <x:c r="BK65" s="12" t="str">
        <x:v>No</x:v>
      </x:c>
      <x:c r="BL65" s="12" t="str"/>
      <x:c r="BM65" s="12" t="str"/>
      <x:c r="BN65" s="12" t="str"/>
      <x:c r="BO65" s="12" t="str"/>
      <x:c r="BP65" s="12" t="str"/>
      <x:c r="BQ65" s="12" t="str"/>
    </x:row>
    <x:row r="66">
      <x:c r="A66" s="9" t="str">
        <x:v>segacd-65</x:v>
      </x:c>
      <x:c r="B66" s="9" t="str">
        <x:v>penn-and-tellers-smoke-and-mirrors</x:v>
      </x:c>
      <x:c r="C66" s="9" t="str">
        <x:v>Sega CD</x:v>
      </x:c>
      <x:c r="D66" s="9" t="str">
        <x:v>Penn &amp; Teller's Smoke and Mirrors</x:v>
      </x:c>
      <x:c r="E66" s="9"/>
      <x:c r="F66" s="9" t="str">
        <x:v>Imagineering</x:v>
      </x:c>
      <x:c r="G66" s="9" t="str">
        <x:v>Absolute Entertainment (cancelled 1995)</x:v>
      </x:c>
      <x:c r="H66" s="9" t="n">
        <x:v>1995</x:v>
      </x:c>
      <x:c r="I66" s="9" t="str">
        <x:v>Yes</x:v>
      </x:c>
      <x:c r="J66" s="9" t="str">
        <x:v>No</x:v>
      </x:c>
      <x:c r="K66" s="9" t="str">
        <x:v>No</x:v>
      </x:c>
      <x:c r="L66" s="9" t="str">
        <x:v>No</x:v>
      </x:c>
      <x:c r="M66" s="9" t="str">
        <x:v>Minigame collection</x:v>
      </x:c>
      <x:c r="N66" s="9" t="str">
        <x:v>Live-action</x:v>
      </x:c>
      <x:c r="O66" s="9" t="n">
        <x:v>8</x:v>
      </x:c>
      <x:c r="P66" s="9" t="str">
        <x:v>Prototype</x:v>
      </x:c>
      <x:c r="Q66" s="9" t="str">
        <x:v>Prototype dumped</x:v>
      </x:c>
      <x:c r="R66" s="9" t="str">
        <x:v>Original</x:v>
      </x:c>
      <x:c r="S66" s="9" t="str">
        <x:v>Unreleased 3DO &amp; PC versions</x:v>
      </x:c>
      <x:c r="T66" s="9" t="str">
        <x:v>Penn Jillette, Teller</x:v>
      </x:c>
      <x:c r="U66" s="9" t="n">
        <x:v>1</x:v>
      </x:c>
      <x:c r="V66" s="9" t="str">
        <x:v>No</x:v>
      </x:c>
      <x:c r="W66" s="9" t="str">
        <x:v>Controller</x:v>
      </x:c>
      <x:c r="X66" s="9" t="str">
        <x:v>Low</x:v>
      </x:c>
      <x:c r="Y66" s="9"/>
      <x:c r="Z66" s="9" t="str">
        <x:v>1 hr (Desert Bus: 8 hr)</x:v>
      </x:c>
      <x:c r="AA66" s="9" t="str">
        <x:v>Home of Desert Bus — the game designed to annoy Janet Reno — leaked 15 years after its publisher went bankrupt.</x:v>
      </x:c>
      <x:c r="AB66" s="9" t="str">
        <x:v>None; some minigames are deliberately unwinnable (that's the joke).</x:v>
      </x:c>
      <x:c r="AC66" s="9" t="str">
        <x:v>Full-screen FMV in the 'cheat' games; Desert Bus is a standard driving screen.</x:v>
      </x:c>
      <x:c r="AD66" s="9" t="str">
        <x:v>Varies; Desert Bus is 8 real-time hours per point.</x:v>
      </x:c>
      <x:c r="AE66" s="9" t="str">
        <x:v>Each minigame is self-contained.</x:v>
      </x:c>
      <x:c r="AF66" s="9" t="str">
        <x:v>Absolute Entertainment folded in 1995 before release; a near-final disc leaked in 2010 via Frank Cifaldi. Lou Reed cameos in some segments (verify).</x:v>
      </x:c>
      <x:c r="AG66" s="9" t="str">
        <x:v>Prototype image only (Sega CD; 3DO/PC versions never finished).</x:v>
      </x:c>
      <x:c r="AH66" s="9" t="str">
        <x:v>No (Desert Bus has fan remakes; a VR version exists)</x:v>
      </x:c>
      <x:c r="AI66" s="9" t="str">
        <x:v>Emulation only</x:v>
      </x:c>
      <x:c r="AJ66" s="9"/>
      <x:c r="AK66" s="9" t="str">
        <x:v>Never sold. Near-final prototype leaked online in 2010 and is freely downloadable; playable via emulator or burned disc. Home of 'Desert Bus'. Several FMV-driven minigames with Penn &amp; Teller. PRICE: Never sold; prototype download only.</x:v>
      </x:c>
      <x:c r="AL66" s="10"/>
      <x:c r="AM66" s="10"/>
      <x:c r="AN66" s="10"/>
      <x:c r="AO66" s="9"/>
      <x:c r="AP66" s="11" t="str">
        <x:f>HYPERLINK("https://www.pricecharting.com/search-products?q=Penn+%26+Teller%27s+Smoke+and+Mirrors+sega+cd&amp;type=prices","PriceCharting")</x:f>
        <x:v>PriceCharting</x:v>
      </x:c>
      <x:c r="AQ66" s="9"/>
      <x:c r="AR66" s="9"/>
      <x:c r="AS66" s="9"/>
      <x:c r="AT66" s="9"/>
      <x:c r="AU66" s="9"/>
      <x:c r="AV66" s="9"/>
      <x:c r="AW66" s="9" t="str">
        <x:v>7/10</x:v>
      </x:c>
      <x:c r="AX66" s="9" t="str">
        <x:f>HYPERLINK("https://www.sega-16.com/2010/10/penn-tellers-smoke-and-mirrors/","Sega-16")</x:f>
        <x:v>Sega-16</x:v>
      </x:c>
      <x:c r="AY66" s="9"/>
      <x:c r="AZ66" s="9"/>
      <x:c r="BA66" s="11" t="str">
        <x:f>HYPERLINK("https://www.mobygames.com/search/?q=Penn+%26+Teller%27s+Smoke+and+Mirrors","MobyGames")</x:f>
        <x:v>MobyGames</x:v>
      </x:c>
      <x:c r="BB66" s="9"/>
      <x:c r="BC66" s="9"/>
      <x:c r="BD66" s="9"/>
      <x:c r="BE66" s="11" t="str">
        <x:f>HYPERLINK("https://en.wikipedia.org/wiki/Penn_%26_Teller%27s_Smoke_and_Mirrors","Wikipedia")</x:f>
        <x:v>Wikipedia</x:v>
      </x:c>
      <x:c r="BF66" s="11" t="str">
        <x:f>HYPERLINK("https://backloggd.com/search/games/Penn%20%26%20Teller%27s%20Smoke%20and%20Mirrors/","Backloggd")</x:f>
        <x:v>Backloggd</x:v>
      </x:c>
      <x:c r="BG66" s="11" t="str">
        <x:f>HYPERLINK("https://segaretro.org/index.php?search=Penn+%26+Teller%27s+Smoke+and+Mirrors","Sega Retro")</x:f>
        <x:v>Sega Retro</x:v>
      </x:c>
      <x:c r="BH66" s="9"/>
      <x:c r="BI66" s="12" t="str">
        <x:v>No</x:v>
      </x:c>
      <x:c r="BJ66" s="12" t="str"/>
      <x:c r="BK66" s="12" t="str">
        <x:v>No</x:v>
      </x:c>
      <x:c r="BL66" s="12" t="str"/>
      <x:c r="BM66" s="12" t="str"/>
      <x:c r="BN66" s="12" t="str"/>
      <x:c r="BO66" s="12" t="str"/>
      <x:c r="BP66" s="12" t="str"/>
      <x:c r="BQ66" s="12" t="str"/>
    </x:row>
    <x:row r="67">
      <x:c r="A67" s="9" t="str">
        <x:v>segacd-66</x:v>
      </x:c>
      <x:c r="B67" s="9" t="str">
        <x:v>maximum-surge</x:v>
      </x:c>
      <x:c r="C67" s="9" t="str">
        <x:v>Sega CD</x:v>
      </x:c>
      <x:c r="D67" s="9" t="str">
        <x:v>Maximum Surge</x:v>
      </x:c>
      <x:c r="E67" s="9"/>
      <x:c r="F67" s="9" t="str">
        <x:v>Digital Pictures</x:v>
      </x:c>
      <x:c r="G67" s="9" t="str">
        <x:v>Digital Pictures (cancelled 1995)</x:v>
      </x:c>
      <x:c r="H67" s="9" t="n">
        <x:v>1995</x:v>
      </x:c>
      <x:c r="I67" s="9" t="str">
        <x:v>No</x:v>
      </x:c>
      <x:c r="J67" s="9" t="str">
        <x:v>No</x:v>
      </x:c>
      <x:c r="K67" s="9" t="str">
        <x:v>No</x:v>
      </x:c>
      <x:c r="L67" s="9" t="str">
        <x:v>No</x:v>
      </x:c>
      <x:c r="M67" s="9" t="str">
        <x:v>Rail shooter</x:v>
      </x:c>
      <x:c r="N67" s="9" t="str">
        <x:v>Live-action</x:v>
      </x:c>
      <x:c r="O67" s="9" t="n">
        <x:v>10</x:v>
      </x:c>
      <x:c r="P67" s="9" t="str">
        <x:v>Prototype</x:v>
      </x:c>
      <x:c r="Q67" s="9" t="str">
        <x:v>NOT obtainable</x:v>
      </x:c>
      <x:c r="R67" s="9" t="str">
        <x:v>Original</x:v>
      </x:c>
      <x:c r="S67" s="9" t="str">
        <x:v>Footage recut into the 2003 film 'Game Over'</x:v>
      </x:c>
      <x:c r="T67" s="9" t="str">
        <x:v>Yasmine Bleeth, Walter Koenig</x:v>
      </x:c>
      <x:c r="U67" s="9" t="n">
        <x:v>1</x:v>
      </x:c>
      <x:c r="V67" s="9" t="str">
        <x:v>N/A</x:v>
      </x:c>
      <x:c r="W67" s="9" t="str">
        <x:v>N/A</x:v>
      </x:c>
      <x:c r="X67" s="9" t="str">
        <x:v>Low</x:v>
      </x:c>
      <x:c r="Y67" s="9"/>
      <x:c r="Z67" s="9" t="str">
        <x:v>N/A</x:v>
      </x:c>
      <x:c r="AA67" s="9" t="str">
        <x:v>The FMV game that was never released and became a direct-to-video movie instead.</x:v>
      </x:c>
      <x:c r="AB67" s="9" t="str">
        <x:v>N/A</x:v>
      </x:c>
      <x:c r="AC67" s="9" t="str">
        <x:v>N/A</x:v>
      </x:c>
      <x:c r="AD67" s="9" t="str">
        <x:v>N/A</x:v>
      </x:c>
      <x:c r="AE67" s="9" t="str">
        <x:v>N/A</x:v>
      </x:c>
      <x:c r="AF67" s="9" t="str">
        <x:v>Shot 1995 with Yasmine Bleeth and Walter Koenig; after Digital Pictures folded the footage was edited into 'Game Over' (2003).</x:v>
      </x:c>
      <x:c r="AG67" s="9" t="str">
        <x:v>None.</x:v>
      </x:c>
      <x:c r="AH67" s="9" t="str">
        <x:v>No</x:v>
      </x:c>
      <x:c r="AI67" s="9" t="str">
        <x:v>Lost</x:v>
      </x:c>
      <x:c r="AJ67" s="9"/>
      <x:c r="AK67" s="9" t="str">
        <x:v>Shot with Yasmine Bleeth and Walter Koenig; never released and no disc dump has surfaced. Footage was recut into the 2003 movie 'Game Over'. Listed for completeness only. PRICE: Not obtainable.</x:v>
      </x:c>
      <x:c r="AL67" s="10"/>
      <x:c r="AM67" s="10"/>
      <x:c r="AN67" s="10"/>
      <x:c r="AO67" s="9"/>
      <x:c r="AP67" s="11" t="str">
        <x:f>HYPERLINK("https://www.pricecharting.com/search-products?q=Maximum+Surge+sega+cd&amp;type=prices","PriceCharting")</x:f>
        <x:v>PriceCharting</x:v>
      </x:c>
      <x:c r="AQ67" s="9"/>
      <x:c r="AR67" s="9"/>
      <x:c r="AS67" s="9"/>
      <x:c r="AT67" s="9"/>
      <x:c r="AU67" s="9"/>
      <x:c r="AV67" s="9"/>
      <x:c r="AW67" s="9"/>
      <x:c r="AX67" s="9"/>
      <x:c r="AY67" s="9"/>
      <x:c r="AZ67" s="9"/>
      <x:c r="BA67" s="11" t="str">
        <x:f>HYPERLINK("https://www.mobygames.com/search/?q=Maximum+Surge","MobyGames")</x:f>
        <x:v>MobyGames</x:v>
      </x:c>
      <x:c r="BB67" s="9"/>
      <x:c r="BC67" s="9"/>
      <x:c r="BD67" s="9"/>
      <x:c r="BE67" s="9"/>
      <x:c r="BF67" s="11" t="str">
        <x:f>HYPERLINK("https://backloggd.com/search/games/Maximum%20Surge/","Backloggd")</x:f>
        <x:v>Backloggd</x:v>
      </x:c>
      <x:c r="BG67" s="11" t="str">
        <x:f>HYPERLINK("https://segaretro.org/index.php?search=Maximum+Surge","Sega Retro")</x:f>
        <x:v>Sega Retro</x:v>
      </x:c>
      <x:c r="BH67" s="9"/>
      <x:c r="BI67" s="12" t="str">
        <x:v>No</x:v>
      </x:c>
      <x:c r="BJ67" s="12" t="str"/>
      <x:c r="BK67" s="12" t="str">
        <x:v>No</x:v>
      </x:c>
      <x:c r="BL67" s="12" t="str"/>
      <x:c r="BM67" s="12" t="str"/>
      <x:c r="BN67" s="12" t="str"/>
      <x:c r="BO67" s="12" t="str"/>
      <x:c r="BP67" s="12" t="str"/>
      <x:c r="BQ67" s="12" t="str"/>
    </x:row>
    <x:row r="68">
      <x:c r="A68" s="9" t="str">
        <x:v>segacd-67</x:v>
      </x:c>
      <x:c r="B68" s="9" t="str">
        <x:v>megarace</x:v>
      </x:c>
      <x:c r="C68" s="9" t="str">
        <x:v>Sega CD</x:v>
      </x:c>
      <x:c r="D68" s="9" t="str">
        <x:v>MegaRace</x:v>
      </x:c>
      <x:c r="E68" s="9" t="str"/>
      <x:c r="F68" s="9" t="str">
        <x:v>Cryo Interactive</x:v>
      </x:c>
      <x:c r="G68" s="9" t="str">
        <x:v>Mindscape (NA/EU)</x:v>
      </x:c>
      <x:c r="H68" s="9" t="n">
        <x:v>1994</x:v>
      </x:c>
      <x:c r="I68" s="9" t="str">
        <x:v>Yes</x:v>
      </x:c>
      <x:c r="J68" s="9" t="str">
        <x:v>No</x:v>
      </x:c>
      <x:c r="K68" s="9" t="str">
        <x:v>Yes</x:v>
      </x:c>
      <x:c r="L68" s="9" t="str">
        <x:v>No</x:v>
      </x:c>
      <x:c r="M68" s="9" t="str">
        <x:v>Combat racing</x:v>
      </x:c>
      <x:c r="N68" s="9" t="str">
        <x:v>Pre-rendered CG + live-action host</x:v>
      </x:c>
      <x:c r="O68" s="9" t="n">
        <x:v>7</x:v>
      </x:c>
      <x:c r="P68" s="9" t="str">
        <x:v>Pre-rendered CG</x:v>
      </x:c>
      <x:c r="Q68" s="9" t="str">
        <x:v>Released</x:v>
      </x:c>
      <x:c r="R68" s="9" t="str">
        <x:v>1993 PC game (Cryo)</x:v>
      </x:c>
      <x:c r="S68" s="9" t="str">
        <x:v>PC, 3DO</x:v>
      </x:c>
      <x:c r="T68" s="9" t="str">
        <x:v>Christian Erickson as host Lance Boyle</x:v>
      </x:c>
      <x:c r="U68" s="9" t="n">
        <x:v>1</x:v>
      </x:c>
      <x:c r="V68" s="9" t="str">
        <x:v>No (passwords)</x:v>
      </x:c>
      <x:c r="W68" s="9" t="str">
        <x:v>Controller</x:v>
      </x:c>
      <x:c r="X68" s="9" t="str">
        <x:v>Low</x:v>
      </x:c>
      <x:c r="Y68" s="9" t="str"/>
      <x:c r="Z68" s="9" t="str">
        <x:v>1–2 hr</x:v>
      </x:c>
      <x:c r="AA68" s="9" t="str">
        <x:v>A racing game whose tracks are streamed pre-rendered video, hosted by the smarmiest game-show host of the decade, Lance Boyle.</x:v>
      </x:c>
      <x:c r="AB68" s="9" t="str">
        <x:v>Password system; cheat passwords documented (verify).</x:v>
      </x:c>
      <x:c r="AC68" s="9" t="str">
        <x:v>Full-screen streamed CG track, ~15 fps, 64 colours on Sega CD; cars are sprites over the video.</x:v>
      </x:c>
      <x:c r="AD68" s="9" t="str">
        <x:v>Medium — the car can't leave the pre-rendered road, so it's about weapons timing.</x:v>
      </x:c>
      <x:c r="AE68" s="9" t="str">
        <x:v>Single ending after all tracks; Lance Boyle reacts to results.</x:v>
      </x:c>
      <x:c r="AF68" s="9" t="str">
        <x:v>Cryo's showcase for CD-ROM; the Sega CD port was published by Mindscape. Lance Boyle's segments were shot against greenscreen and inserted between races.</x:v>
      </x:c>
      <x:c r="AG68" s="9" t="str">
        <x:v>US, PAL.</x:v>
      </x:c>
      <x:c r="AH68" s="9" t="str">
        <x:v>Yes (PC version on GOG)</x:v>
      </x:c>
      <x:c r="AI68" s="9" t="str">
        <x:v>Easy</x:v>
      </x:c>
      <x:c r="AJ68" s="9"/>
      <x:c r="AK68" s="9" t="str">
        <x:v>Added after the first pass: same streamed-background tech as Silpheed and Novastorm. Sega CD 'MegaRace' PriceCharting: $22.50 loose / $48.67 CIB / $71.70 new.</x:v>
      </x:c>
      <x:c r="AL68" s="10" t="n">
        <x:v>22.5</x:v>
      </x:c>
      <x:c r="AM68" s="10" t="n">
        <x:v>48.67</x:v>
      </x:c>
      <x:c r="AN68" s="10" t="n">
        <x:v>71.7</x:v>
      </x:c>
      <x:c r="AO68" s="9" t="str">
        <x:v>2026-10-20</x:v>
      </x:c>
      <x:c r="AP68" s="11" t="str">
        <x:f>HYPERLINK("https://www.pricecharting.com/search-products?q=megarace+sega+cd&amp;type=prices","PriceCharting")</x:f>
        <x:v>PriceCharting</x:v>
      </x:c>
      <x:c r="AQ68" s="9"/>
      <x:c r="AR68" s="9"/>
      <x:c r="AS68" s="9"/>
      <x:c r="AT68" s="9"/>
      <x:c r="AU68" s="9"/>
      <x:c r="AV68" s="9"/>
      <x:c r="AW68" s="9"/>
      <x:c r="AX68" s="9"/>
      <x:c r="AY68" s="9"/>
      <x:c r="AZ68" s="9"/>
      <x:c r="BA68" s="11" t="str">
        <x:f>HYPERLINK("https://www.mobygames.com/game/sega-cd/megarace","MobyGames")</x:f>
        <x:v>MobyGames</x:v>
      </x:c>
      <x:c r="BB68" s="9"/>
      <x:c r="BC68" s="9"/>
      <x:c r="BD68" s="9"/>
      <x:c r="BE68" s="11" t="str">
        <x:f>HYPERLINK("https://en.wikipedia.org/wiki/MegaRace","Wikipedia")</x:f>
        <x:v>Wikipedia</x:v>
      </x:c>
      <x:c r="BF68" s="11" t="str">
        <x:f>HYPERLINK("https://backloggd.com/search/games/MegaRace/","Backloggd")</x:f>
        <x:v>Backloggd</x:v>
      </x:c>
      <x:c r="BG68" s="11" t="str">
        <x:f>HYPERLINK("https://segaretro.org/index.php?search=MegaRace","Sega Retro")</x:f>
        <x:v>Sega Retro</x:v>
      </x:c>
      <x:c r="BH68" s="9"/>
      <x:c r="BI68" s="12" t="str">
        <x:v>No</x:v>
      </x:c>
      <x:c r="BJ68" s="12" t="str"/>
      <x:c r="BK68" s="12" t="str">
        <x:v>No</x:v>
      </x:c>
      <x:c r="BL68" s="12" t="str"/>
      <x:c r="BM68" s="12" t="str"/>
      <x:c r="BN68" s="12" t="str"/>
      <x:c r="BO68" s="12" t="str"/>
      <x:c r="BP68" s="12" t="str"/>
      <x:c r="BQ68" s="12" t="str"/>
    </x:row>
    <x:row r="69">
      <x:c r="A69" s="9" t="str">
        <x:v>3do-1</x:v>
      </x:c>
      <x:c r="B69" s="9" t="str">
        <x:v>mad-dog-mccree</x:v>
      </x:c>
      <x:c r="C69" s="9" t="str">
        <x:v>3DO</x:v>
      </x:c>
      <x:c r="D69" s="9" t="str">
        <x:v>Mad Dog McCree</x:v>
      </x:c>
      <x:c r="E69" s="9" t="str"/>
      <x:c r="F69" s="9" t="str">
        <x:v>American Laser Games</x:v>
      </x:c>
      <x:c r="G69" s="9" t="str">
        <x:v>American Laser Games (NA/EU); not released in Japan</x:v>
      </x:c>
      <x:c r="H69" s="9" t="n">
        <x:v>1994</x:v>
      </x:c>
      <x:c r="I69" s="9" t="str">
        <x:v>Yes</x:v>
      </x:c>
      <x:c r="J69" s="9" t="str">
        <x:v>No</x:v>
      </x:c>
      <x:c r="K69" s="9" t="str">
        <x:v>Yes</x:v>
      </x:c>
      <x:c r="L69" s="9" t="str">
        <x:v>No</x:v>
      </x:c>
      <x:c r="M69" s="9" t="str">
        <x:v>Light-gun rail shooter</x:v>
      </x:c>
      <x:c r="N69" s="9" t="str">
        <x:v>Live-action</x:v>
      </x:c>
      <x:c r="O69" s="9" t="n">
        <x:v>10</x:v>
      </x:c>
      <x:c r="P69" s="9" t="str">
        <x:v>American Laser Games</x:v>
      </x:c>
      <x:c r="Q69" s="9" t="str">
        <x:v>Released</x:v>
      </x:c>
      <x:c r="R69" s="9" t="str">
        <x:v>Arcade laserdisc game (American Laser Games, 1990)</x:v>
      </x:c>
      <x:c r="S69" s="9" t="str">
        <x:v>Arcade, Sega CD, CD-i, DOS/Windows, DVD TV game, Wii, iOS, 3DS, PS3</x:v>
      </x:c>
      <x:c r="T69" s="9" t="str">
        <x:v>Ben Zeller (Prospector), Russ/Rusty Dillen (Mad Dog), Lori Dillen (barfly), Carol Eason (undertaker)</x:v>
      </x:c>
      <x:c r="U69" s="9" t="n">
        <x:v>1</x:v>
      </x:c>
      <x:c r="V69" s="9" t="str">
        <x:v>No</x:v>
      </x:c>
      <x:c r="W69" s="9" t="str">
        <x:v>3DO Gamegun (ALG), 3DO Mouse, standard control pad</x:v>
      </x:c>
      <x:c r="X69" s="9" t="str">
        <x:v>Low</x:v>
      </x:c>
      <x:c r="Y69" s="9" t="str"/>
      <x:c r="Z69" s="9" t="str">
        <x:v>20–40 min</x:v>
      </x:c>
      <x:c r="AA69" s="9" t="str">
        <x:v>The game that started the live-action light-gun craze, shot in New Mexico for $125k with local actors and a stunt-caliber spittoon count.</x:v>
      </x:c>
      <x:c r="AB69" s="9" t="str">
        <x:v>None known</x:v>
      </x:c>
      <x:c r="AC69" s="9" t="str">
        <x:v>Reduced window (not full screen), Cinepak-style compression ~15 fps; Edge called it 'tolerable', GamePro poor — verify exact size</x:v>
      </x:c>
      <x:c r="AD69" s="9" t="str">
        <x:v>Easy once memorized; pad cursor is very slow, nearly requires the Gamegun</x:v>
      </x:c>
      <x:c r="AE69" s="9" t="str">
        <x:v>Linear; one ending (defeat Mad Dog in the final showdown); branching only via mistakes/deaths</x:v>
      </x:c>
      <x:c r="AF69" s="9" t="str">
        <x:v>Budget was about $125,000; Russ Dillen dyed his blonde hair black to play Mad Dog. The 3DO port shipped before the Gamegun, so early buyers had to aim with the control pad.</x:v>
      </x:c>
      <x:c r="AG69" s="9" t="str">
        <x:v>NA longbox; later bundled with Mad Dog II and Crime Patrol in the 3DO 'Gunslinger Collection' (1995)</x:v>
      </x:c>
      <x:c r="AH69" s="9" t="str">
        <x:v>No verified current digital sale; original discs and legacy Digital Leisure editions (platforms vary).</x:v>
      </x:c>
      <x:c r="AI69" s="9" t="str">
        <x:v>Easy</x:v>
      </x:c>
      <x:c r="AJ69" s="9"/>
      <x:c r="AK69" s="9" t="str">
        <x:v>3DO release Jan 1994 per Wikipedia list. GameRankings avg 55%. MobyGames blocked fetching; scores unfilled.</x:v>
      </x:c>
      <x:c r="AL69" s="10" t="n">
        <x:v>16.47</x:v>
      </x:c>
      <x:c r="AM69" s="10" t="n">
        <x:v>39.94</x:v>
      </x:c>
      <x:c r="AN69" s="10" t="n">
        <x:v>66.8</x:v>
      </x:c>
      <x:c r="AO69" s="9" t="str">
        <x:v>2026-10-20</x:v>
      </x:c>
      <x:c r="AP69" s="11" t="str">
        <x:f>HYPERLINK("https://www.pricecharting.com/search-products?q=Mad+Dog+McCree+3do&amp;type=prices","PriceCharting")</x:f>
        <x:v>PriceCharting</x:v>
      </x:c>
      <x:c r="AQ69" s="9"/>
      <x:c r="AR69" s="9"/>
      <x:c r="AS69" s="9"/>
      <x:c r="AT69" s="9"/>
      <x:c r="AU69" s="9"/>
      <x:c r="AV69" s="9"/>
      <x:c r="AW69" s="9"/>
      <x:c r="AX69" s="9"/>
      <x:c r="AY69" s="9" t="str">
        <x:v>42%</x:v>
      </x:c>
      <x:c r="AZ69" s="9" t="str">
        <x:v>4.2</x:v>
      </x:c>
      <x:c r="BA69" s="11" t="str">
        <x:f>HYPERLINK("https://www.mobygames.com/game/3do/mad-dog-mccree","MobyGames")</x:f>
        <x:v>MobyGames</x:v>
      </x:c>
      <x:c r="BB69" s="9"/>
      <x:c r="BC69" s="9"/>
      <x:c r="BD69" s="9"/>
      <x:c r="BE69" s="11" t="str">
        <x:f>HYPERLINK("https://en.wikipedia.org/wiki/Mad_Dog_McCree","Wikipedia")</x:f>
        <x:v>Wikipedia</x:v>
      </x:c>
      <x:c r="BF69" s="11" t="str">
        <x:f>HYPERLINK("https://backloggd.com/search/games/Mad%20Dog%20McCree/","Backloggd")</x:f>
        <x:v>Backloggd</x:v>
      </x:c>
      <x:c r="BG69" s="9"/>
      <x:c r="BH69" s="9"/>
      <x:c r="BI69" s="12" t="str">
        <x:v>No</x:v>
      </x:c>
      <x:c r="BJ69" s="12" t="str"/>
      <x:c r="BK69" s="12" t="str">
        <x:v>No</x:v>
      </x:c>
      <x:c r="BL69" s="12" t="str"/>
      <x:c r="BM69" s="12" t="str"/>
      <x:c r="BN69" s="12" t="str"/>
      <x:c r="BO69" s="12" t="str"/>
      <x:c r="BP69" s="12" t="str"/>
      <x:c r="BQ69" s="12" t="str"/>
    </x:row>
    <x:row r="70">
      <x:c r="A70" s="9" t="str">
        <x:v>3do-2</x:v>
      </x:c>
      <x:c r="B70" s="9" t="str">
        <x:v>mad-dog-ii-the-lost-gold</x:v>
      </x:c>
      <x:c r="C70" s="9" t="str">
        <x:v>3DO</x:v>
      </x:c>
      <x:c r="D70" s="9" t="str">
        <x:v>Mad Dog II: The Lost Gold</x:v>
      </x:c>
      <x:c r="E70" s="9" t="str"/>
      <x:c r="F70" s="9" t="str">
        <x:v>American Laser Games</x:v>
      </x:c>
      <x:c r="G70" s="9" t="str">
        <x:v>American Laser Games (NA)</x:v>
      </x:c>
      <x:c r="H70" s="9" t="n">
        <x:v>1994</x:v>
      </x:c>
      <x:c r="I70" s="9" t="str">
        <x:v>Yes</x:v>
      </x:c>
      <x:c r="J70" s="9" t="str">
        <x:v>No</x:v>
      </x:c>
      <x:c r="K70" s="9" t="str">
        <x:v>No</x:v>
      </x:c>
      <x:c r="L70" s="9" t="str">
        <x:v>No</x:v>
      </x:c>
      <x:c r="M70" s="9" t="str">
        <x:v>Light-gun rail shooter</x:v>
      </x:c>
      <x:c r="N70" s="9" t="str">
        <x:v>Live-action</x:v>
      </x:c>
      <x:c r="O70" s="9" t="n">
        <x:v>10</x:v>
      </x:c>
      <x:c r="P70" s="9" t="str">
        <x:v>American Laser Games</x:v>
      </x:c>
      <x:c r="Q70" s="9" t="str">
        <x:v>Released</x:v>
      </x:c>
      <x:c r="R70" s="9" t="str">
        <x:v>Arcade laserdisc game (American Laser Games, 1992)</x:v>
      </x:c>
      <x:c r="S70" s="9" t="str">
        <x:v>Arcade, Sega CD, CD-i, DOS, DVD TV game, Wii, PS3/PSN</x:v>
      </x:c>
      <x:c r="T70" s="9" t="str">
        <x:v>Ben Zeller (stagecoach driver); other cast uncredited local actors</x:v>
      </x:c>
      <x:c r="U70" s="9" t="n">
        <x:v>1</x:v>
      </x:c>
      <x:c r="V70" s="9" t="str">
        <x:v>Yes</x:v>
      </x:c>
      <x:c r="W70" s="9" t="str">
        <x:v>3DO Gamegun, 3DO Mouse, standard control pad</x:v>
      </x:c>
      <x:c r="X70" s="9" t="str">
        <x:v>Low</x:v>
      </x:c>
      <x:c r="Y70" s="9" t="str"/>
      <x:c r="Z70" s="9" t="str">
        <x:v>30–45 min per route</x:v>
      </x:c>
      <x:c r="AA70" s="9" t="str">
        <x:v>Pick one of three guides (Buckskin Bonnie, the Professor or Shooting Beaver) and ride three different routes to the same train-and-hideout finale.</x:v>
      </x:c>
      <x:c r="AB70" s="9" t="str">
        <x:v>None known; hidden 'sand in the chest' ending appears if you finish using more than one credit</x:v>
      </x:c>
      <x:c r="AC70" s="9" t="str">
        <x:v>Reduced window, ~15 fps; GamePro praised it as sharper than the original — verify exact size</x:v>
      </x:c>
      <x:c r="AD70" s="9" t="str">
        <x:v>Three difficulty levels; three lives; Gamegun strongly recommended</x:v>
      </x:c>
      <x:c r="AE70" s="9" t="str">
        <x:v>Three branching routes converge on one ending; alternate 'fool's gold' chest scene if continues were used</x:v>
      </x:c>
      <x:c r="AF70" s="9" t="str">
        <x:v>The 3DO version has a single save slot and three difficulty settings. The sand-chest gag is absent from the CD-i and DVD versions.</x:v>
      </x:c>
      <x:c r="AG70" s="9" t="str">
        <x:v>NA longbox; included in 3DO 'Gunslinger Collection' (1995)</x:v>
      </x:c>
      <x:c r="AH70" s="9" t="str">
        <x:v>No verified current digital sale; original discs and legacy Digital Leisure editions (platforms vary).</x:v>
      </x:c>
      <x:c r="AI70" s="9" t="str">
        <x:v>Easy</x:v>
      </x:c>
      <x:c r="AJ70" s="9"/>
      <x:c r="AK70" s="9" t="str">
        <x:v>3DO release Sept 1, 1994 (Wikipedia list). EGM 6.2/10, Next Gen 2/5.</x:v>
      </x:c>
      <x:c r="AL70" s="10" t="n">
        <x:v>29.99</x:v>
      </x:c>
      <x:c r="AM70" s="10" t="n">
        <x:v>54.43</x:v>
      </x:c>
      <x:c r="AN70" s="10" t="n">
        <x:v>92.35</x:v>
      </x:c>
      <x:c r="AO70" s="9" t="str">
        <x:v>2026-10-20</x:v>
      </x:c>
      <x:c r="AP70" s="11" t="str">
        <x:f>HYPERLINK("https://www.pricecharting.com/search-products?q=Mad+Dog+II%3A+The+Lost+Gold+3do&amp;type=prices","PriceCharting")</x:f>
        <x:v>PriceCharting</x:v>
      </x:c>
      <x:c r="AQ70" s="9"/>
      <x:c r="AR70" s="9"/>
      <x:c r="AS70" s="9"/>
      <x:c r="AT70" s="9"/>
      <x:c r="AU70" s="9"/>
      <x:c r="AV70" s="9"/>
      <x:c r="AW70" s="9"/>
      <x:c r="AX70" s="9"/>
      <x:c r="AY70" s="9"/>
      <x:c r="AZ70" s="9"/>
      <x:c r="BA70" s="11" t="str">
        <x:f>HYPERLINK("https://www.mobygames.com/game/3do/mad-dog-ii-the-lost-gold","MobyGames")</x:f>
        <x:v>MobyGames</x:v>
      </x:c>
      <x:c r="BB70" s="9" t="str">
        <x:v>51%</x:v>
      </x:c>
      <x:c r="BC70" s="9" t="str">
        <x:v>average of 2 reviews on Wikipedia (EGM, NGen)</x:v>
      </x:c>
      <x:c r="BD70" s="9" t="str">
        <x:f>HYPERLINK("https://en.wikipedia.org/wiki/Mad_Dog_II%3A_The_Lost_Gold","Source")</x:f>
        <x:v>Source</x:v>
      </x:c>
      <x:c r="BE70" s="11" t="str">
        <x:f>HYPERLINK("https://en.wikipedia.org/wiki/Mad_Dog_II:_The_Lost_Gold","Wikipedia")</x:f>
        <x:v>Wikipedia</x:v>
      </x:c>
      <x:c r="BF70" s="11" t="str">
        <x:f>HYPERLINK("https://backloggd.com/search/games/Mad%20Dog%20II%3A%20The%20Lost%20Gold/","Backloggd")</x:f>
        <x:v>Backloggd</x:v>
      </x:c>
      <x:c r="BG70" s="9"/>
      <x:c r="BH70" s="9"/>
      <x:c r="BI70" s="12" t="str">
        <x:v>No</x:v>
      </x:c>
      <x:c r="BJ70" s="12" t="str"/>
      <x:c r="BK70" s="12" t="str">
        <x:v>No</x:v>
      </x:c>
      <x:c r="BL70" s="12" t="str"/>
      <x:c r="BM70" s="12" t="str"/>
      <x:c r="BN70" s="12" t="str"/>
      <x:c r="BO70" s="12" t="str"/>
      <x:c r="BP70" s="12" t="str"/>
      <x:c r="BQ70" s="12" t="str"/>
    </x:row>
    <x:row r="71">
      <x:c r="A71" s="9" t="str">
        <x:v>3do-3</x:v>
      </x:c>
      <x:c r="B71" s="9" t="str">
        <x:v>crime-patrol</x:v>
      </x:c>
      <x:c r="C71" s="9" t="str">
        <x:v>3DO</x:v>
      </x:c>
      <x:c r="D71" s="9" t="str">
        <x:v>Crime Patrol</x:v>
      </x:c>
      <x:c r="E71" s="9" t="str"/>
      <x:c r="F71" s="9" t="str">
        <x:v>American Laser Games</x:v>
      </x:c>
      <x:c r="G71" s="9" t="str">
        <x:v>American Laser Games (NA)</x:v>
      </x:c>
      <x:c r="H71" s="9" t="n">
        <x:v>1994</x:v>
      </x:c>
      <x:c r="I71" s="9" t="str">
        <x:v>Yes</x:v>
      </x:c>
      <x:c r="J71" s="9" t="str">
        <x:v>No</x:v>
      </x:c>
      <x:c r="K71" s="9" t="str">
        <x:v>No</x:v>
      </x:c>
      <x:c r="L71" s="9" t="str">
        <x:v>No</x:v>
      </x:c>
      <x:c r="M71" s="9" t="str">
        <x:v>Light-gun rail shooter</x:v>
      </x:c>
      <x:c r="N71" s="9" t="str">
        <x:v>Live-action</x:v>
      </x:c>
      <x:c r="O71" s="9" t="n">
        <x:v>10</x:v>
      </x:c>
      <x:c r="P71" s="9" t="str">
        <x:v>American Laser Games</x:v>
      </x:c>
      <x:c r="Q71" s="9" t="str">
        <x:v>Released</x:v>
      </x:c>
      <x:c r="R71" s="9" t="str">
        <x:v>Arcade laserdisc game (American Laser Games, 1993)</x:v>
      </x:c>
      <x:c r="S71" s="9" t="str">
        <x:v>Arcade, Sega CD, CD-i, DOS, Mac, Windows, DVD TV game</x:v>
      </x:c>
      <x:c r="T71" s="9" t="str">
        <x:v>—</x:v>
      </x:c>
      <x:c r="U71" s="9" t="n">
        <x:v>1</x:v>
      </x:c>
      <x:c r="V71" s="9" t="str">
        <x:v>No</x:v>
      </x:c>
      <x:c r="W71" s="9" t="str">
        <x:v>3DO Gamegun, 3DO Mouse, standard control pad</x:v>
      </x:c>
      <x:c r="X71" s="9" t="str">
        <x:v>Low</x:v>
      </x:c>
      <x:c r="Y71" s="9" t="str"/>
      <x:c r="Z71" s="9" t="str">
        <x:v>30–45 min</x:v>
      </x:c>
      <x:c r="AA71" s="9" t="str">
        <x:v>Rise from rookie beat cop to SWAT and Delta Force in a game that plays like a cheap 80s cop show you can shoot at.</x:v>
      </x:c>
      <x:c r="AB71" s="9" t="str">
        <x:v>None known</x:v>
      </x:c>
      <x:c r="AC71" s="9" t="str">
        <x:v>Reduced window, ~15 fps; GamePro praised 'clean, sharp digitized images' vs the grainy Sega CD — verify size</x:v>
      </x:c>
      <x:c r="AD71" s="9" t="str">
        <x:v>Moderate; fast enemy draws, pad cursor sluggish without Gamegun</x:v>
      </x:c>
      <x:c r="AE71" s="9" t="str">
        <x:v>Linear four-tier progression (Rookie, Undercover, SWAT, Delta Force); one ending</x:v>
      </x:c>
      <x:c r="AF71" s="9" t="str">
        <x:v>Play Meter ranked the arcade original ninth in July 1993. Jaguar CD, PlayStation and Saturn ports were cancelled.</x:v>
      </x:c>
      <x:c r="AG71" s="9" t="str">
        <x:v>NA longbox; included in 3DO 'Gunslinger Collection' (1995)</x:v>
      </x:c>
      <x:c r="AH71" s="9" t="str">
        <x:v>No verified current digital sale; original discs and legacy Digital Leisure editions (platforms vary).</x:v>
      </x:c>
      <x:c r="AI71" s="9" t="str">
        <x:v>Easy</x:v>
      </x:c>
      <x:c r="AJ71" s="9"/>
      <x:c r="AK71" s="9" t="str">
        <x:v>Home 3DO release Nov 15, 1994 (Wikipedia 3DO list); the 1993 date in other sources is the arcade original. Single disc (ROM sets list one disc; resale listings are 'disc only').</x:v>
      </x:c>
      <x:c r="AL71" s="10" t="n">
        <x:v>54.99</x:v>
      </x:c>
      <x:c r="AM71" s="10" t="n">
        <x:v>61.18</x:v>
      </x:c>
      <x:c r="AN71" s="10" t="n">
        <x:v>150</x:v>
      </x:c>
      <x:c r="AO71" s="9" t="str">
        <x:v>2026-10-20</x:v>
      </x:c>
      <x:c r="AP71" s="11" t="str">
        <x:f>HYPERLINK("https://www.pricecharting.com/search-products?q=Crime+Patrol+3do&amp;type=prices","PriceCharting")</x:f>
        <x:v>PriceCharting</x:v>
      </x:c>
      <x:c r="AQ71" s="9"/>
      <x:c r="AR71" s="9"/>
      <x:c r="AS71" s="9"/>
      <x:c r="AT71" s="9"/>
      <x:c r="AU71" s="9"/>
      <x:c r="AV71" s="9"/>
      <x:c r="AW71" s="9"/>
      <x:c r="AX71" s="9"/>
      <x:c r="AY71" s="9" t="str">
        <x:v>70%</x:v>
      </x:c>
      <x:c r="AZ71" s="9" t="str">
        <x:v>3.9</x:v>
      </x:c>
      <x:c r="BA71" s="11" t="str">
        <x:f>HYPERLINK("https://www.mobygames.com/game/3do/crime-patrol","MobyGames")</x:f>
        <x:v>MobyGames</x:v>
      </x:c>
      <x:c r="BB71" s="9"/>
      <x:c r="BC71" s="9"/>
      <x:c r="BD71" s="9"/>
      <x:c r="BE71" s="11" t="str">
        <x:f>HYPERLINK("https://en.wikipedia.org/wiki/Crime_Patrol_(video_game)","Wikipedia")</x:f>
        <x:v>Wikipedia</x:v>
      </x:c>
      <x:c r="BF71" s="11" t="str">
        <x:f>HYPERLINK("https://backloggd.com/search/games/Crime%20Patrol/","Backloggd")</x:f>
        <x:v>Backloggd</x:v>
      </x:c>
      <x:c r="BG71" s="9"/>
      <x:c r="BH71" s="9"/>
      <x:c r="BI71" s="12" t="str">
        <x:v>No</x:v>
      </x:c>
      <x:c r="BJ71" s="12" t="str"/>
      <x:c r="BK71" s="12" t="str">
        <x:v>No</x:v>
      </x:c>
      <x:c r="BL71" s="12" t="str"/>
      <x:c r="BM71" s="12" t="str"/>
      <x:c r="BN71" s="12" t="str"/>
      <x:c r="BO71" s="12" t="str"/>
      <x:c r="BP71" s="12" t="str"/>
      <x:c r="BQ71" s="12" t="str"/>
    </x:row>
    <x:row r="72">
      <x:c r="A72" s="9" t="str">
        <x:v>3do-4</x:v>
      </x:c>
      <x:c r="B72" s="9" t="str">
        <x:v>crime-patrol-2-drug-wars</x:v>
      </x:c>
      <x:c r="C72" s="9" t="str">
        <x:v>3DO</x:v>
      </x:c>
      <x:c r="D72" s="9" t="str">
        <x:v>Crime Patrol 2: Drug Wars</x:v>
      </x:c>
      <x:c r="E72" s="9" t="str">
        <x:v>Drug Wars (3DO box title)</x:v>
      </x:c>
      <x:c r="F72" s="9" t="str">
        <x:v>American Laser Games</x:v>
      </x:c>
      <x:c r="G72" s="9" t="str">
        <x:v>American Laser Games (NA)</x:v>
      </x:c>
      <x:c r="H72" s="9" t="n">
        <x:v>1994</x:v>
      </x:c>
      <x:c r="I72" s="9" t="str">
        <x:v>Yes</x:v>
      </x:c>
      <x:c r="J72" s="9" t="str">
        <x:v>No</x:v>
      </x:c>
      <x:c r="K72" s="9" t="str">
        <x:v>No</x:v>
      </x:c>
      <x:c r="L72" s="9" t="str">
        <x:v>No</x:v>
      </x:c>
      <x:c r="M72" s="9" t="str">
        <x:v>Light-gun rail shooter</x:v>
      </x:c>
      <x:c r="N72" s="9" t="str">
        <x:v>Live-action</x:v>
      </x:c>
      <x:c r="O72" s="9" t="n">
        <x:v>10</x:v>
      </x:c>
      <x:c r="P72" s="9" t="str">
        <x:v>American Laser Games</x:v>
      </x:c>
      <x:c r="Q72" s="9" t="str">
        <x:v>Released</x:v>
      </x:c>
      <x:c r="R72" s="9" t="str">
        <x:v>Arcade laserdisc game (American Laser Games, 1993)</x:v>
      </x:c>
      <x:c r="S72" s="9" t="str">
        <x:v>Arcade, CD-i, DOS, DVD TV game</x:v>
      </x:c>
      <x:c r="T72" s="9" t="str">
        <x:v>—</x:v>
      </x:c>
      <x:c r="U72" s="9" t="n">
        <x:v>1</x:v>
      </x:c>
      <x:c r="V72" s="9" t="str">
        <x:v>No</x:v>
      </x:c>
      <x:c r="W72" s="9" t="str">
        <x:v>3DO Gamegun, 3DO Mouse, standard control pad</x:v>
      </x:c>
      <x:c r="X72" s="9" t="str">
        <x:v>Low</x:v>
      </x:c>
      <x:c r="Y72" s="9" t="str"/>
      <x:c r="Z72" s="9" t="str">
        <x:v>30–45 min</x:v>
      </x:c>
      <x:c r="AA72" s="9" t="str">
        <x:v>You're a DEA agent chasing a South American drug baron from New Mexico to Chicago to the jungle, with a partner who scolds you every time you die.</x:v>
      </x:c>
      <x:c r="AB72" s="9" t="str">
        <x:v>None known</x:v>
      </x:c>
      <x:c r="AC72" s="9" t="str">
        <x:v>Reduced window; Next Gen called resolution and frame rate 'choppy' — verify size</x:v>
      </x:c>
      <x:c r="AD72" s="9" t="str">
        <x:v>Moderate-hard; 'unplayable without a Gamegun' per Next Generation</x:v>
      </x:c>
      <x:c r="AE72" s="9" t="str">
        <x:v>Four locations with three missions each, order selectable; one ending</x:v>
      </x:c>
      <x:c r="AF72" s="9" t="str">
        <x:v>ALG's seventh live-action shooter. Arcade cabinets came in 25-, 33- and 50-inch monitor sizes.</x:v>
      </x:c>
      <x:c r="AG72" s="9" t="str">
        <x:v>NA longbox titled simply 'Drug Wars'</x:v>
      </x:c>
      <x:c r="AH72" s="9" t="str">
        <x:v>No verified current digital sale; original discs and legacy Digital Leisure editions (platforms vary).</x:v>
      </x:c>
      <x:c r="AI72" s="9" t="str">
        <x:v>Easy</x:v>
      </x:c>
      <x:c r="AJ72" s="9"/>
      <x:c r="AK72" s="9" t="str">
        <x:v>3DO release 1994 (Wikipedia list). Next Gen 2/5. Disc count unverified.</x:v>
      </x:c>
      <x:c r="AL72" s="10" t="n">
        <x:v>41.99</x:v>
      </x:c>
      <x:c r="AM72" s="10" t="n">
        <x:v>99.99</x:v>
      </x:c>
      <x:c r="AN72" s="10" t="n">
        <x:v>200</x:v>
      </x:c>
      <x:c r="AO72" s="9" t="str">
        <x:v>2026-10-20</x:v>
      </x:c>
      <x:c r="AP72" s="11" t="str">
        <x:f>HYPERLINK("https://www.pricecharting.com/search-products?q=Crime+Patrol+2%3A+Drug+Wars+3do&amp;type=prices","PriceCharting")</x:f>
        <x:v>PriceCharting</x:v>
      </x:c>
      <x:c r="AQ72" s="9"/>
      <x:c r="AR72" s="9"/>
      <x:c r="AS72" s="9"/>
      <x:c r="AT72" s="9"/>
      <x:c r="AU72" s="9"/>
      <x:c r="AV72" s="9"/>
      <x:c r="AW72" s="9"/>
      <x:c r="AX72" s="9"/>
      <x:c r="AY72" s="9" t="str">
        <x:v>60%</x:v>
      </x:c>
      <x:c r="AZ72" s="9" t="str">
        <x:v>2.8</x:v>
      </x:c>
      <x:c r="BA72" s="11" t="str">
        <x:f>HYPERLINK("https://www.mobygames.com/game/3do/drug-wars","MobyGames")</x:f>
        <x:v>MobyGames</x:v>
      </x:c>
      <x:c r="BB72" s="9"/>
      <x:c r="BC72" s="9"/>
      <x:c r="BD72" s="9"/>
      <x:c r="BE72" s="11" t="str">
        <x:f>HYPERLINK("https://en.wikipedia.org/wiki/Crime_Patrol_2:_Drug_Wars","Wikipedia")</x:f>
        <x:v>Wikipedia</x:v>
      </x:c>
      <x:c r="BF72" s="11" t="str">
        <x:f>HYPERLINK("https://backloggd.com/search/games/Crime%20Patrol%202%3A%20Drug%20Wars/","Backloggd")</x:f>
        <x:v>Backloggd</x:v>
      </x:c>
      <x:c r="BG72" s="9"/>
      <x:c r="BH72" s="9"/>
      <x:c r="BI72" s="12" t="str">
        <x:v>No</x:v>
      </x:c>
      <x:c r="BJ72" s="12" t="str"/>
      <x:c r="BK72" s="12" t="str">
        <x:v>No</x:v>
      </x:c>
      <x:c r="BL72" s="12" t="str"/>
      <x:c r="BM72" s="12" t="str"/>
      <x:c r="BN72" s="12" t="str"/>
      <x:c r="BO72" s="12" t="str"/>
      <x:c r="BP72" s="12" t="str"/>
      <x:c r="BQ72" s="12" t="str"/>
    </x:row>
    <x:row r="73">
      <x:c r="A73" s="9" t="str">
        <x:v>3do-5</x:v>
      </x:c>
      <x:c r="B73" s="9" t="str">
        <x:v>who-shot-johnny-rock</x:v>
      </x:c>
      <x:c r="C73" s="9" t="str">
        <x:v>3DO</x:v>
      </x:c>
      <x:c r="D73" s="9" t="str">
        <x:v>Who Shot Johnny Rock?</x:v>
      </x:c>
      <x:c r="E73" s="9" t="str"/>
      <x:c r="F73" s="9" t="str">
        <x:v>American Laser Games</x:v>
      </x:c>
      <x:c r="G73" s="9" t="str">
        <x:v>American Laser Games (NA)</x:v>
      </x:c>
      <x:c r="H73" s="9" t="n">
        <x:v>1994</x:v>
      </x:c>
      <x:c r="I73" s="9" t="str">
        <x:v>Yes</x:v>
      </x:c>
      <x:c r="J73" s="9" t="str">
        <x:v>No</x:v>
      </x:c>
      <x:c r="K73" s="9" t="str">
        <x:v>No</x:v>
      </x:c>
      <x:c r="L73" s="9" t="str">
        <x:v>No</x:v>
      </x:c>
      <x:c r="M73" s="9" t="str">
        <x:v>Light-gun whodunit rail shooter</x:v>
      </x:c>
      <x:c r="N73" s="9" t="str">
        <x:v>Live-action</x:v>
      </x:c>
      <x:c r="O73" s="9" t="n">
        <x:v>10</x:v>
      </x:c>
      <x:c r="P73" s="9" t="str">
        <x:v>American Laser Games</x:v>
      </x:c>
      <x:c r="Q73" s="9" t="str">
        <x:v>Released</x:v>
      </x:c>
      <x:c r="R73" s="9" t="str">
        <x:v>Arcade laserdisc game (American Laser Games, 1991)</x:v>
      </x:c>
      <x:c r="S73" s="9" t="str">
        <x:v>Arcade, Sega CD, CD-i, DOS, Windows, DVD TV game</x:v>
      </x:c>
      <x:c r="T73" s="9" t="str">
        <x:v>—</x:v>
      </x:c>
      <x:c r="U73" s="9" t="n">
        <x:v>1</x:v>
      </x:c>
      <x:c r="V73" s="9" t="str">
        <x:v>No</x:v>
      </x:c>
      <x:c r="W73" s="9" t="str">
        <x:v>3DO Gamegun, 3DO Mouse, standard control pad</x:v>
      </x:c>
      <x:c r="X73" s="9" t="str">
        <x:v>Low</x:v>
      </x:c>
      <x:c r="Y73" s="9" t="str"/>
      <x:c r="Z73" s="9" t="str">
        <x:v>30–45 min</x:v>
      </x:c>
      <x:c r="AA73" s="9" t="str">
        <x:v>A 1930s gangster murder mystery where the killer is randomly picked from four suspects each playthrough and you buy bullets from a crooked doctor.</x:v>
      </x:c>
      <x:c r="AB73" s="9" t="str">
        <x:v>None known</x:v>
      </x:c>
      <x:c r="AC73" s="9" t="str">
        <x:v>Reduced window, ~15 fps; EGM called the graphics weak for the 3DO — verify size</x:v>
      </x:c>
      <x:c r="AD73" s="9" t="str">
        <x:v>Hard with pad; money system means a game over when cash runs out</x:v>
      </x:c>
      <x:c r="AE73" s="9" t="str">
        <x:v>Randomized culprit among four gangsters; final mansion confrontation; one ending structure</x:v>
      </x:c>
      <x:c r="AF73" s="9" t="str">
        <x:v>Shown at the 1991 Las Vegas Amusement Expo as 'Who Killed Johnny Rock?'. EGM gave the 3DO port 4.8/10.</x:v>
      </x:c>
      <x:c r="AG73" s="9" t="str">
        <x:v>NA longbox</x:v>
      </x:c>
      <x:c r="AH73" s="9" t="str">
        <x:v>No verified current digital sale; original discs and legacy Digital Leisure editions (platforms vary).</x:v>
      </x:c>
      <x:c r="AI73" s="9" t="str">
        <x:v>Easy</x:v>
      </x:c>
      <x:c r="AJ73" s="9"/>
      <x:c r="AK73" s="9" t="str">
        <x:v>3DO release June 21, 1994 (Wikipedia list).</x:v>
      </x:c>
      <x:c r="AL73" s="10" t="n">
        <x:v>30.19</x:v>
      </x:c>
      <x:c r="AM73" s="10" t="n">
        <x:v>79.99</x:v>
      </x:c>
      <x:c r="AN73" s="10" t="n">
        <x:v>160</x:v>
      </x:c>
      <x:c r="AO73" s="9" t="str">
        <x:v>2026-10-20</x:v>
      </x:c>
      <x:c r="AP73" s="11" t="str">
        <x:f>HYPERLINK("https://www.pricecharting.com/search-products?q=Who+Shot+Johnny+Rock%3F+3do&amp;type=prices","PriceCharting")</x:f>
        <x:v>PriceCharting</x:v>
      </x:c>
      <x:c r="AQ73" s="9"/>
      <x:c r="AR73" s="9"/>
      <x:c r="AS73" s="9"/>
      <x:c r="AT73" s="9"/>
      <x:c r="AU73" s="9"/>
      <x:c r="AV73" s="9"/>
      <x:c r="AW73" s="9"/>
      <x:c r="AX73" s="9"/>
      <x:c r="AY73" s="9" t="str">
        <x:v>42%</x:v>
      </x:c>
      <x:c r="AZ73" s="9" t="str">
        <x:v>2.9</x:v>
      </x:c>
      <x:c r="BA73" s="11" t="str">
        <x:f>HYPERLINK("https://www.mobygames.com/game/3do/who-shot-johnny-rock","MobyGames")</x:f>
        <x:v>MobyGames</x:v>
      </x:c>
      <x:c r="BB73" s="9"/>
      <x:c r="BC73" s="9"/>
      <x:c r="BD73" s="9"/>
      <x:c r="BE73" s="11" t="str">
        <x:f>HYPERLINK("https://en.wikipedia.org/wiki/Who_Shot_Johnny_Rock%3F","Wikipedia")</x:f>
        <x:v>Wikipedia</x:v>
      </x:c>
      <x:c r="BF73" s="11" t="str">
        <x:f>HYPERLINK("https://backloggd.com/search/games/Who%20Shot%20Johnny%20Rock%3F/","Backloggd")</x:f>
        <x:v>Backloggd</x:v>
      </x:c>
      <x:c r="BG73" s="9"/>
      <x:c r="BH73" s="9"/>
      <x:c r="BI73" s="12" t="str">
        <x:v>No</x:v>
      </x:c>
      <x:c r="BJ73" s="12" t="str"/>
      <x:c r="BK73" s="12" t="str">
        <x:v>No</x:v>
      </x:c>
      <x:c r="BL73" s="12" t="str"/>
      <x:c r="BM73" s="12" t="str"/>
      <x:c r="BN73" s="12" t="str"/>
      <x:c r="BO73" s="12" t="str"/>
      <x:c r="BP73" s="12" t="str"/>
      <x:c r="BQ73" s="12" t="str"/>
    </x:row>
    <x:row r="74">
      <x:c r="A74" s="9" t="str">
        <x:v>3do-6</x:v>
      </x:c>
      <x:c r="B74" s="9" t="str">
        <x:v>space-pirates</x:v>
      </x:c>
      <x:c r="C74" s="9" t="str">
        <x:v>3DO</x:v>
      </x:c>
      <x:c r="D74" s="9" t="str">
        <x:v>Space Pirates</x:v>
      </x:c>
      <x:c r="E74" s="9" t="str"/>
      <x:c r="F74" s="9" t="str">
        <x:v>American Laser Games</x:v>
      </x:c>
      <x:c r="G74" s="9" t="str">
        <x:v>American Laser Games (NA)</x:v>
      </x:c>
      <x:c r="H74" s="9" t="n">
        <x:v>1995</x:v>
      </x:c>
      <x:c r="I74" s="9" t="str">
        <x:v>Yes</x:v>
      </x:c>
      <x:c r="J74" s="9" t="str">
        <x:v>No</x:v>
      </x:c>
      <x:c r="K74" s="9" t="str">
        <x:v>No</x:v>
      </x:c>
      <x:c r="L74" s="9" t="str">
        <x:v>No</x:v>
      </x:c>
      <x:c r="M74" s="9" t="str">
        <x:v>Light-gun rail shooter</x:v>
      </x:c>
      <x:c r="N74" s="9" t="str">
        <x:v>Live-action</x:v>
      </x:c>
      <x:c r="O74" s="9" t="n">
        <x:v>10</x:v>
      </x:c>
      <x:c r="P74" s="9" t="str">
        <x:v>American Laser Games</x:v>
      </x:c>
      <x:c r="Q74" s="9" t="str">
        <x:v>Released</x:v>
      </x:c>
      <x:c r="R74" s="9" t="str">
        <x:v>Arcade laserdisc game (American Laser Games, 1992)</x:v>
      </x:c>
      <x:c r="S74" s="9" t="str">
        <x:v>Arcade, DOS, DVD TV game</x:v>
      </x:c>
      <x:c r="T74" s="9" t="str">
        <x:v>Ben Zeller (old man); the other actors are not named in available sources</x:v>
      </x:c>
      <x:c r="U74" s="9" t="n">
        <x:v>1</x:v>
      </x:c>
      <x:c r="V74" s="9" t="str">
        <x:v>No</x:v>
      </x:c>
      <x:c r="W74" s="9" t="str">
        <x:v>3DO Gamegun (incl. 2-player), 3DO Mouse, standard control pad</x:v>
      </x:c>
      <x:c r="X74" s="9" t="str">
        <x:v>Low</x:v>
      </x:c>
      <x:c r="Y74" s="9" t="str"/>
      <x:c r="Z74" s="9" t="str">
        <x:v>30–45 min</x:v>
      </x:c>
      <x:c r="AA74" s="9" t="str">
        <x:v>ALG's lone sci-fi shooter: rubber-suited pirates, a captive Commander Skye and a Star-Splitter Cannon, all with the production values of an 80s music video.</x:v>
      </x:c>
      <x:c r="AB74" s="9" t="str">
        <x:v>No codes. Secret scene: after rescuing the commander, take the transporter, choose the lower-left TV monitor and shoot the cow skull there several times. (GameFAQs)</x:v>
      </x:c>
      <x:c r="AC74" s="9" t="str">
        <x:v>Reduced window, ~15 fps — verify size</x:v>
      </x:c>
      <x:c r="AD74" s="9" t="str">
        <x:v>Moderate; inaccurate targeting criticized with both pad and Gamegun</x:v>
      </x:c>
      <x:c r="AE74" s="9" t="str">
        <x:v>Visit four planets in any order for three crystals, then destroy the Black Dragon; one ending</x:v>
      </x:c>
      <x:c r="AF74" s="9" t="str">
        <x:v>Ben Zeller returns from the Mad Dog games. The 3DO port supports two-player play, which the PC version lacks.</x:v>
      </x:c>
      <x:c r="AG74" s="9" t="str">
        <x:v>NA longbox</x:v>
      </x:c>
      <x:c r="AH74" s="9" t="str">
        <x:v>No verified current digital sale; original discs and legacy Digital Leisure editions (platforms vary).</x:v>
      </x:c>
      <x:c r="AI74" s="9" t="str">
        <x:v>Easy</x:v>
      </x:c>
      <x:c r="AJ74" s="9"/>
      <x:c r="AK74" s="9" t="str">
        <x:v>3DO release June 26, 1995 (Wikipedia list). Next Gen 2/5; Video Game Critic F.</x:v>
      </x:c>
      <x:c r="AL74" s="10" t="n">
        <x:v>29.68</x:v>
      </x:c>
      <x:c r="AM74" s="10" t="n">
        <x:v>70.11</x:v>
      </x:c>
      <x:c r="AN74" s="10" t="n">
        <x:v>89.99</x:v>
      </x:c>
      <x:c r="AO74" s="9" t="str">
        <x:v>2026-10-20</x:v>
      </x:c>
      <x:c r="AP74" s="11" t="str">
        <x:f>HYPERLINK("https://www.pricecharting.com/search-products?q=Space+Pirates+3do&amp;type=prices","PriceCharting")</x:f>
        <x:v>PriceCharting</x:v>
      </x:c>
      <x:c r="AQ74" s="9"/>
      <x:c r="AR74" s="9"/>
      <x:c r="AS74" s="9"/>
      <x:c r="AT74" s="9"/>
      <x:c r="AU74" s="9"/>
      <x:c r="AV74" s="9"/>
      <x:c r="AW74" s="9"/>
      <x:c r="AX74" s="9"/>
      <x:c r="AY74" s="9" t="str">
        <x:v>60%</x:v>
      </x:c>
      <x:c r="AZ74" s="9" t="str">
        <x:v>3.3</x:v>
      </x:c>
      <x:c r="BA74" s="11" t="str">
        <x:f>HYPERLINK("https://www.mobygames.com/game/3do/space-pirates","MobyGames")</x:f>
        <x:v>MobyGames</x:v>
      </x:c>
      <x:c r="BB74" s="9"/>
      <x:c r="BC74" s="9"/>
      <x:c r="BD74" s="9"/>
      <x:c r="BE74" s="11" t="str">
        <x:f>HYPERLINK("https://en.wikipedia.org/wiki/Space_Pirates_(video_game)","Wikipedia")</x:f>
        <x:v>Wikipedia</x:v>
      </x:c>
      <x:c r="BF74" s="11" t="str">
        <x:f>HYPERLINK("https://backloggd.com/search/games/Space%20Pirates/","Backloggd")</x:f>
        <x:v>Backloggd</x:v>
      </x:c>
      <x:c r="BG74" s="9"/>
      <x:c r="BH74" s="9"/>
      <x:c r="BI74" s="12" t="str">
        <x:v>No</x:v>
      </x:c>
      <x:c r="BJ74" s="12" t="str"/>
      <x:c r="BK74" s="12" t="str">
        <x:v>No</x:v>
      </x:c>
      <x:c r="BL74" s="12" t="str"/>
      <x:c r="BM74" s="12" t="str"/>
      <x:c r="BN74" s="12" t="str"/>
      <x:c r="BO74" s="12" t="str"/>
      <x:c r="BP74" s="12" t="str"/>
      <x:c r="BQ74" s="12" t="str"/>
    </x:row>
    <x:row r="75">
      <x:c r="A75" s="9" t="str">
        <x:v>3do-7</x:v>
      </x:c>
      <x:c r="B75" s="9" t="str">
        <x:v>the-last-bounty-hunter</x:v>
      </x:c>
      <x:c r="C75" s="9" t="str">
        <x:v>3DO</x:v>
      </x:c>
      <x:c r="D75" s="9" t="str">
        <x:v>The Last Bounty Hunter</x:v>
      </x:c>
      <x:c r="E75" s="9" t="str"/>
      <x:c r="F75" s="9" t="str">
        <x:v>American Laser Games</x:v>
      </x:c>
      <x:c r="G75" s="9" t="str">
        <x:v>American Laser Games (NA)</x:v>
      </x:c>
      <x:c r="H75" s="9" t="n">
        <x:v>1995</x:v>
      </x:c>
      <x:c r="I75" s="9" t="str">
        <x:v>Yes</x:v>
      </x:c>
      <x:c r="J75" s="9" t="str">
        <x:v>No</x:v>
      </x:c>
      <x:c r="K75" s="9" t="str">
        <x:v>No</x:v>
      </x:c>
      <x:c r="L75" s="9" t="str">
        <x:v>No</x:v>
      </x:c>
      <x:c r="M75" s="9" t="str">
        <x:v>Light-gun rail shooter</x:v>
      </x:c>
      <x:c r="N75" s="9" t="str">
        <x:v>Live-action</x:v>
      </x:c>
      <x:c r="O75" s="9" t="n">
        <x:v>10</x:v>
      </x:c>
      <x:c r="P75" s="9" t="str">
        <x:v>American Laser Games</x:v>
      </x:c>
      <x:c r="Q75" s="9" t="str">
        <x:v>Released</x:v>
      </x:c>
      <x:c r="R75" s="9" t="str">
        <x:v>Arcade laserdisc game (American Laser Games, 1994)</x:v>
      </x:c>
      <x:c r="S75" s="9" t="str">
        <x:v>Arcade, DOS, CD-i, DVD TV game, Wii</x:v>
      </x:c>
      <x:c r="T75" s="9" t="str">
        <x:v>Wes Flowers (fast-draw champion, as a gunfighter); others uncredited</x:v>
      </x:c>
      <x:c r="U75" s="9" t="n">
        <x:v>1</x:v>
      </x:c>
      <x:c r="V75" s="9" t="str">
        <x:v>No</x:v>
      </x:c>
      <x:c r="W75" s="9" t="str">
        <x:v>3DO Gamegun, 3DO Mouse, standard control pad</x:v>
      </x:c>
      <x:c r="X75" s="9" t="str">
        <x:v>Low</x:v>
      </x:c>
      <x:c r="Y75" s="9" t="str"/>
      <x:c r="Z75" s="9" t="str">
        <x:v>30–45 min</x:v>
      </x:c>
      <x:c r="AA75" s="9" t="str">
        <x:v>ALG's last Western lets you wound and capture outlaws alive for bigger bounties, with random fast-draw showdowns against a real champion.</x:v>
      </x:c>
      <x:c r="AB75" s="9" t="str">
        <x:v>None known</x:v>
      </x:c>
      <x:c r="AC75" s="9" t="str">
        <x:v>Reduced window, ~15 fps — verify size</x:v>
      </x:c>
      <x:c r="AD75" s="9" t="str">
        <x:v>Hard; some enemies cannot be answered in time unless you've already been shot by them</x:v>
      </x:c>
      <x:c r="AE75" s="9" t="str">
        <x:v>Ending varies by whether bosses were captured alive or killed; random showdown order</x:v>
      </x:c>
      <x:c r="AF75" s="9" t="str">
        <x:v>One of the last ALG laserdisc shooters; real-life fast-draw champ Wes Flowers appears, foreshadowing Fast Draw Showdown.</x:v>
      </x:c>
      <x:c r="AG75" s="9" t="str">
        <x:v>NA longbox</x:v>
      </x:c>
      <x:c r="AH75" s="9" t="str">
        <x:v>No verified current digital sale; original discs and legacy Digital Leisure editions (platforms vary).</x:v>
      </x:c>
      <x:c r="AI75" s="9" t="str">
        <x:v>Easy</x:v>
      </x:c>
      <x:c r="AJ75" s="9"/>
      <x:c r="AK75" s="9" t="str">
        <x:v>3DO release Oct/Nov 1995 (sources differ). Next Gen 2/5.</x:v>
      </x:c>
      <x:c r="AL75" s="10" t="n">
        <x:v>51.21</x:v>
      </x:c>
      <x:c r="AM75" s="10" t="n">
        <x:v>76.93</x:v>
      </x:c>
      <x:c r="AN75" s="10" t="n">
        <x:v>100.11</x:v>
      </x:c>
      <x:c r="AO75" s="9" t="str">
        <x:v>2026-10-20</x:v>
      </x:c>
      <x:c r="AP75" s="11" t="str">
        <x:f>HYPERLINK("https://www.pricecharting.com/search-products?q=The+Last+Bounty+Hunter+3do&amp;type=prices","PriceCharting")</x:f>
        <x:v>PriceCharting</x:v>
      </x:c>
      <x:c r="AQ75" s="9"/>
      <x:c r="AR75" s="9"/>
      <x:c r="AS75" s="9"/>
      <x:c r="AT75" s="9"/>
      <x:c r="AU75" s="9"/>
      <x:c r="AV75" s="9"/>
      <x:c r="AW75" s="9"/>
      <x:c r="AX75" s="9"/>
      <x:c r="AY75" s="9" t="str">
        <x:v>71%</x:v>
      </x:c>
      <x:c r="AZ75" s="9" t="str">
        <x:v>4.3</x:v>
      </x:c>
      <x:c r="BA75" s="11" t="str">
        <x:f>HYPERLINK("https://www.mobygames.com/game/3do/last-bounty-hunter","MobyGames")</x:f>
        <x:v>MobyGames</x:v>
      </x:c>
      <x:c r="BB75" s="9"/>
      <x:c r="BC75" s="9"/>
      <x:c r="BD75" s="9"/>
      <x:c r="BE75" s="11" t="str">
        <x:f>HYPERLINK("https://en.wikipedia.org/wiki/The_Last_Bounty_Hunter","Wikipedia")</x:f>
        <x:v>Wikipedia</x:v>
      </x:c>
      <x:c r="BF75" s="11" t="str">
        <x:f>HYPERLINK("https://backloggd.com/search/games/The%20Last%20Bounty%20Hunter/","Backloggd")</x:f>
        <x:v>Backloggd</x:v>
      </x:c>
      <x:c r="BG75" s="9"/>
      <x:c r="BH75" s="9"/>
      <x:c r="BI75" s="12" t="str">
        <x:v>No</x:v>
      </x:c>
      <x:c r="BJ75" s="12" t="str"/>
      <x:c r="BK75" s="12" t="str">
        <x:v>No</x:v>
      </x:c>
      <x:c r="BL75" s="12" t="str"/>
      <x:c r="BM75" s="12" t="str"/>
      <x:c r="BN75" s="12" t="str"/>
      <x:c r="BO75" s="12" t="str"/>
      <x:c r="BP75" s="12" t="str"/>
      <x:c r="BQ75" s="12" t="str"/>
    </x:row>
    <x:row r="76">
      <x:c r="A76" s="9" t="str">
        <x:v>3do-8</x:v>
      </x:c>
      <x:c r="B76" s="9" t="str">
        <x:v>night-trap</x:v>
      </x:c>
      <x:c r="C76" s="9" t="str">
        <x:v>3DO</x:v>
      </x:c>
      <x:c r="D76" s="9" t="str">
        <x:v>Night Trap</x:v>
      </x:c>
      <x:c r="E76" s="9" t="str">
        <x:v>ナイトトラップ (JP)</x:v>
      </x:c>
      <x:c r="F76" s="9" t="str">
        <x:v>Digital Pictures</x:v>
      </x:c>
      <x:c r="G76" s="9" t="str">
        <x:v>Virgin Interactive (NA/PAL), Virgin Games (JP)</x:v>
      </x:c>
      <x:c r="H76" s="9" t="n">
        <x:v>1994</x:v>
      </x:c>
      <x:c r="I76" s="9" t="str">
        <x:v>Yes</x:v>
      </x:c>
      <x:c r="J76" s="9" t="str">
        <x:v>Yes</x:v>
      </x:c>
      <x:c r="K76" s="9" t="str">
        <x:v>Yes</x:v>
      </x:c>
      <x:c r="L76" s="9" t="str">
        <x:v>No</x:v>
      </x:c>
      <x:c r="M76" s="9" t="str">
        <x:v>Interactive movie / trap-surveillance</x:v>
      </x:c>
      <x:c r="N76" s="9" t="str">
        <x:v>Live-action</x:v>
      </x:c>
      <x:c r="O76" s="9" t="n">
        <x:v>10</x:v>
      </x:c>
      <x:c r="P76" s="9" t="str">
        <x:v>Digital Pictures</x:v>
      </x:c>
      <x:c r="Q76" s="9" t="str">
        <x:v>Released</x:v>
      </x:c>
      <x:c r="R76" s="9" t="str">
        <x:v>Original production (footage shot 1987 for Hasbro's unreleased NEMO/Control-Vision VHS console)</x:v>
      </x:c>
      <x:c r="S76" s="9" t="str">
        <x:v>Sega CD, 32X, DOS, Mac; Night Trap 25th Anniversary on PS4, Switch, Xbox One, PC, Vita</x:v>
      </x:c>
      <x:c r="T76" s="9" t="str">
        <x:v>Dana Plato (Kelli), Andras Jones (Jeff), Christy Ford, Debra Parks; directed by James Riley</x:v>
      </x:c>
      <x:c r="U76" s="9" t="n">
        <x:v>2</x:v>
      </x:c>
      <x:c r="V76" s="9" t="str">
        <x:v>No</x:v>
      </x:c>
      <x:c r="W76" s="9" t="str">
        <x:v>Standard control pad</x:v>
      </x:c>
      <x:c r="X76" s="9" t="str">
        <x:v>Low–Med</x:v>
      </x:c>
      <x:c r="Y76" s="9" t="str">
        <x:v>Theme song 'Night Trap' (Sunny Blue) may match later re-releases' audio</x:v>
      </x:c>
      <x:c r="Z76" s="9" t="str">
        <x:v>25–30 min (real-time)</x:v>
      </x:c>
      <x:c r="AA76" s="9" t="str">
        <x:v>The game that sparked the 1993 US Senate hearings and the ESRB, in its best-looking 1990s version with Dana Plato on a 3DO.</x:v>
      </x:c>
      <x:c r="AB76" s="9" t="str">
        <x:v>None known</x:v>
      </x:c>
      <x:c r="AC76" s="9" t="str">
        <x:v>Larger window and far more colors than Sega CD; faster room switching; ~15 fps — verify size</x:v>
      </x:c>
      <x:c r="AD76" s="9" t="str">
        <x:v>Hard without a walkthrough; strict trap timing and colour-code changes</x:v>
      </x:c>
      <x:c r="AE76" s="9" t="str">
        <x:v>Multiple failure endings (missed Augers, missed code change, trapping a friend); one true ending</x:v>
      </x:c>
      <x:c r="AF76" s="9" t="str">
        <x:v>3DO release has a different cover from the Sega CD original and the revised icons/fonts/'SCAT' acronym of the later ports. Dec 1993/Jan 1994 NA; June 25, 1994 in Japan.</x:v>
      </x:c>
      <x:c r="AG76" s="9" t="str">
        <x:v>NA longbox, PAL, Japanese (Virgin) release; 2-disc set</x:v>
      </x:c>
      <x:c r="AH76" s="9" t="str">
        <x:v>Yes (Night Trap 25th Anniversary Edition — PS4, Switch, Xbox One, Steam, Vita; Limited Run physical)</x:v>
      </x:c>
      <x:c r="AI76" s="9" t="str">
        <x:v>Easy</x:v>
      </x:c>
      <x:c r="AJ76" s="9"/>
      <x:c r="AK76" s="9" t="str">
        <x:v>Edge 5/10 for 3DO. Two discs (Glitchwave lists 2xCD-ROM; PriceCharting and eBay listings show Disc 1 and Disc 2). Some sources date the 3DO release Dec 1993.</x:v>
      </x:c>
      <x:c r="AL76" s="10" t="n">
        <x:v>70.5</x:v>
      </x:c>
      <x:c r="AM76" s="10" t="n">
        <x:v>119</x:v>
      </x:c>
      <x:c r="AN76" s="10" t="n">
        <x:v>238</x:v>
      </x:c>
      <x:c r="AO76" s="9" t="str">
        <x:v>2026-10-20</x:v>
      </x:c>
      <x:c r="AP76" s="11" t="str">
        <x:f>HYPERLINK("https://www.pricecharting.com/search-products?q=Night+Trap+3do&amp;type=prices","PriceCharting")</x:f>
        <x:v>PriceCharting</x:v>
      </x:c>
      <x:c r="AQ76" s="9"/>
      <x:c r="AR76" s="9"/>
      <x:c r="AS76" s="9"/>
      <x:c r="AT76" s="9"/>
      <x:c r="AU76" s="9"/>
      <x:c r="AV76" s="9"/>
      <x:c r="AW76" s="9"/>
      <x:c r="AX76" s="9"/>
      <x:c r="AY76" s="9" t="str">
        <x:v>63%</x:v>
      </x:c>
      <x:c r="AZ76" s="9" t="str">
        <x:v>3.9</x:v>
      </x:c>
      <x:c r="BA76" s="11" t="str">
        <x:f>HYPERLINK("https://www.mobygames.com/game/3do/night-trap","MobyGames")</x:f>
        <x:v>MobyGames</x:v>
      </x:c>
      <x:c r="BB76" s="9"/>
      <x:c r="BC76" s="9"/>
      <x:c r="BD76" s="9"/>
      <x:c r="BE76" s="11" t="str">
        <x:f>HYPERLINK("https://en.wikipedia.org/wiki/Night_Trap","Wikipedia")</x:f>
        <x:v>Wikipedia</x:v>
      </x:c>
      <x:c r="BF76" s="11" t="str">
        <x:f>HYPERLINK("https://backloggd.com/search/games/Night%20Trap/","Backloggd")</x:f>
        <x:v>Backloggd</x:v>
      </x:c>
      <x:c r="BG76" s="9"/>
      <x:c r="BH76" s="9"/>
      <x:c r="BI76" s="12" t="str">
        <x:v>No</x:v>
      </x:c>
      <x:c r="BJ76" s="12" t="str"/>
      <x:c r="BK76" s="12" t="str">
        <x:v>No</x:v>
      </x:c>
      <x:c r="BL76" s="12" t="str"/>
      <x:c r="BM76" s="12" t="str"/>
      <x:c r="BN76" s="12" t="str"/>
      <x:c r="BO76" s="12" t="str"/>
      <x:c r="BP76" s="12" t="str"/>
      <x:c r="BQ76" s="12" t="str"/>
    </x:row>
    <x:row r="77">
      <x:c r="A77" s="9" t="str">
        <x:v>3do-9</x:v>
      </x:c>
      <x:c r="B77" s="9" t="str">
        <x:v>sewer-shark</x:v>
      </x:c>
      <x:c r="C77" s="9" t="str">
        <x:v>3DO</x:v>
      </x:c>
      <x:c r="D77" s="9" t="str">
        <x:v>Sewer Shark</x:v>
      </x:c>
      <x:c r="E77" s="9" t="str"/>
      <x:c r="F77" s="9" t="str">
        <x:v>Digital Pictures</x:v>
      </x:c>
      <x:c r="G77" s="9" t="str">
        <x:v>Hasbro (NA), Virgin Interactive (PAL)</x:v>
      </x:c>
      <x:c r="H77" s="9" t="n">
        <x:v>1994</x:v>
      </x:c>
      <x:c r="I77" s="9" t="str">
        <x:v>Yes</x:v>
      </x:c>
      <x:c r="J77" s="9" t="str">
        <x:v>No</x:v>
      </x:c>
      <x:c r="K77" s="9" t="str">
        <x:v>Yes</x:v>
      </x:c>
      <x:c r="L77" s="9" t="str">
        <x:v>No</x:v>
      </x:c>
      <x:c r="M77" s="9" t="str">
        <x:v>Rail shooter</x:v>
      </x:c>
      <x:c r="N77" s="9" t="str">
        <x:v>Live-action</x:v>
      </x:c>
      <x:c r="O77" s="9" t="n">
        <x:v>9</x:v>
      </x:c>
      <x:c r="P77" s="9" t="str">
        <x:v>Digital Pictures</x:v>
      </x:c>
      <x:c r="Q77" s="9" t="str">
        <x:v>Released</x:v>
      </x:c>
      <x:c r="R77" s="9" t="str">
        <x:v>Original production (footage shot 1987 for Hasbro's unreleased NEMO console)</x:v>
      </x:c>
      <x:c r="S77" s="9" t="str">
        <x:v>Sega CD (1992, later pack-in)</x:v>
      </x:c>
      <x:c r="T77" s="9" t="str">
        <x:v>Robert Costanzo (Commissioner Stenchler), David Underwood (Ghost), Robert Weaver (Catfish), Kari G. Peyton (Falco); visual effects by John Dykstra</x:v>
      </x:c>
      <x:c r="U77" s="9" t="n">
        <x:v>1</x:v>
      </x:c>
      <x:c r="V77" s="9" t="str">
        <x:v>No</x:v>
      </x:c>
      <x:c r="W77" s="9" t="str">
        <x:v>Standard control pad</x:v>
      </x:c>
      <x:c r="X77" s="9" t="str">
        <x:v>Low</x:v>
      </x:c>
      <x:c r="Y77" s="9" t="str"/>
      <x:c r="Z77" s="9" t="str">
        <x:v>45–60 min</x:v>
      </x:c>
      <x:c r="AA77" s="9" t="str">
        <x:v>A $3 million sci-fi sewer-tunnel shooter directed by Star Wars effects legend John Dykstra, and the 3DO is the only place to see it in full colour.</x:v>
      </x:c>
      <x:c r="AB77" s="9" t="str">
        <x:v>None known</x:v>
      </x:c>
      <x:c r="AC77" s="9" t="str">
        <x:v>Larger video window and clearer footage than Sega CD, ~15 fps, 24-bit colour — verify size</x:v>
      </x:c>
      <x:c r="AD77" s="9" t="str">
        <x:v>Hard; missed tube-jump calls end the game instantly</x:v>
      </x:c>
      <x:c r="AE77" s="9" t="str">
        <x:v>One ending (reach Solar City); game-over death scenes from Stenchler</x:v>
      </x:c>
      <x:c r="AF77" s="9" t="str">
        <x:v>Footage was filmed in 1987 for Hasbro's NEMO VHS system; Sony first eyed it for a SNES CD add-on. The 3DO port was published by Hasbro itself.</x:v>
      </x:c>
      <x:c r="AG77" s="9" t="str">
        <x:v>NA longbox (Hasbro), PAL (Virgin)</x:v>
      </x:c>
      <x:c r="AH77" s="9" t="str">
        <x:v>No</x:v>
      </x:c>
      <x:c r="AI77" s="9" t="str">
        <x:v>Easy</x:v>
      </x:c>
      <x:c r="AJ77" s="9"/>
      <x:c r="AK77" s="9" t="str">
        <x:v>Video Game Critic grade C-. Exact 3DO date unknown (1994).</x:v>
      </x:c>
      <x:c r="AL77" s="10" t="n">
        <x:v>59.99</x:v>
      </x:c>
      <x:c r="AM77" s="10" t="n">
        <x:v>96.88</x:v>
      </x:c>
      <x:c r="AN77" s="10" t="n">
        <x:v>194</x:v>
      </x:c>
      <x:c r="AO77" s="9" t="str">
        <x:v>2026-10-20</x:v>
      </x:c>
      <x:c r="AP77" s="11" t="str">
        <x:f>HYPERLINK("https://www.pricecharting.com/search-products?q=Sewer+Shark+3do&amp;type=prices","PriceCharting")</x:f>
        <x:v>PriceCharting</x:v>
      </x:c>
      <x:c r="AQ77" s="9"/>
      <x:c r="AR77" s="9"/>
      <x:c r="AS77" s="9"/>
      <x:c r="AT77" s="9"/>
      <x:c r="AU77" s="9"/>
      <x:c r="AV77" s="9"/>
      <x:c r="AW77" s="9"/>
      <x:c r="AX77" s="9"/>
      <x:c r="AY77" s="9" t="str">
        <x:v>57%</x:v>
      </x:c>
      <x:c r="AZ77" s="9" t="str">
        <x:v>3.7</x:v>
      </x:c>
      <x:c r="BA77" s="11" t="str">
        <x:f>HYPERLINK("https://www.mobygames.com/game/3do/sewer-shark","MobyGames")</x:f>
        <x:v>MobyGames</x:v>
      </x:c>
      <x:c r="BB77" s="9"/>
      <x:c r="BC77" s="9"/>
      <x:c r="BD77" s="9"/>
      <x:c r="BE77" s="11" t="str">
        <x:f>HYPERLINK("https://en.wikipedia.org/wiki/Sewer_Shark","Wikipedia")</x:f>
        <x:v>Wikipedia</x:v>
      </x:c>
      <x:c r="BF77" s="11" t="str">
        <x:f>HYPERLINK("https://backloggd.com/search/games/Sewer%20Shark/","Backloggd")</x:f>
        <x:v>Backloggd</x:v>
      </x:c>
      <x:c r="BG77" s="9"/>
      <x:c r="BH77" s="9"/>
      <x:c r="BI77" s="12" t="str">
        <x:v>No</x:v>
      </x:c>
      <x:c r="BJ77" s="12" t="str"/>
      <x:c r="BK77" s="12" t="str">
        <x:v>No</x:v>
      </x:c>
      <x:c r="BL77" s="12" t="str"/>
      <x:c r="BM77" s="12" t="str"/>
      <x:c r="BN77" s="12" t="str"/>
      <x:c r="BO77" s="12" t="str"/>
      <x:c r="BP77" s="12" t="str"/>
      <x:c r="BQ77" s="12" t="str"/>
    </x:row>
    <x:row r="78">
      <x:c r="A78" s="9" t="str">
        <x:v>3do-10</x:v>
      </x:c>
      <x:c r="B78" s="9" t="str">
        <x:v>corpse-killer</x:v>
      </x:c>
      <x:c r="C78" s="9" t="str">
        <x:v>3DO</x:v>
      </x:c>
      <x:c r="D78" s="9" t="str">
        <x:v>Corpse Killer</x:v>
      </x:c>
      <x:c r="E78" s="9" t="str"/>
      <x:c r="F78" s="9" t="str">
        <x:v>Digital Pictures</x:v>
      </x:c>
      <x:c r="G78" s="9" t="str">
        <x:v>Digital Pictures / Acclaim Distribution (NA), Acclaim Japan (JP); PAL 1994 per Wikipedia list</x:v>
      </x:c>
      <x:c r="H78" s="9" t="n">
        <x:v>1994</x:v>
      </x:c>
      <x:c r="I78" s="9" t="str">
        <x:v>Yes</x:v>
      </x:c>
      <x:c r="J78" s="9" t="str">
        <x:v>Yes</x:v>
      </x:c>
      <x:c r="K78" s="9" t="str">
        <x:v>Yes</x:v>
      </x:c>
      <x:c r="L78" s="9" t="str">
        <x:v>No</x:v>
      </x:c>
      <x:c r="M78" s="9" t="str">
        <x:v>Light-gun rail shooter</x:v>
      </x:c>
      <x:c r="N78" s="9" t="str">
        <x:v>Live-action</x:v>
      </x:c>
      <x:c r="O78" s="9" t="n">
        <x:v>9</x:v>
      </x:c>
      <x:c r="P78" s="9" t="str">
        <x:v>Digital Pictures</x:v>
      </x:c>
      <x:c r="Q78" s="9" t="str">
        <x:v>Released</x:v>
      </x:c>
      <x:c r="R78" s="9" t="str">
        <x:v>Original production (shot on location in Jamaica-style tropical island setting)</x:v>
      </x:c>
      <x:c r="S78" s="9" t="str">
        <x:v>Sega CD, 32X CD, Saturn (Graveyard Edition), Windows, Mac; Corpse Killer 25th Anniversary on PS4, Switch, PC</x:v>
      </x:c>
      <x:c r="T78" s="9" t="str">
        <x:v>Vincent Schiavelli (Dr. Hellman); live-action footage directed by John Lafia (Wikipedia)</x:v>
      </x:c>
      <x:c r="U78" s="9" t="n">
        <x:v>1</x:v>
      </x:c>
      <x:c r="V78" s="9" t="str">
        <x:v>Unknown — verify</x:v>
      </x:c>
      <x:c r="W78" s="9" t="str">
        <x:v>Standard control pad; 3DO Gamegun (supported but undocumented on packaging)</x:v>
      </x:c>
      <x:c r="X78" s="9" t="str">
        <x:v>Low</x:v>
      </x:c>
      <x:c r="Y78" s="9" t="str"/>
      <x:c r="Z78" s="9" t="str">
        <x:v>1–1.5 hr</x:v>
      </x:c>
      <x:c r="AA78" s="9" t="str">
        <x:v>Vincent Schiavelli's mad scientist and a Jamaican sidekick named Winston make this the most quotable zombie shooter of the FMV era, with secret Gamegun support on 3DO.</x:v>
      </x:c>
      <x:c r="AB78" s="9" t="str">
        <x:v>None known</x:v>
      </x:c>
      <x:c r="AC78" s="9" t="str">
        <x:v>Larger, cleaner window than Sega CD but still grainy; ~15 fps — verify size</x:v>
      </x:c>
      <x:c r="AD78" s="9" t="str">
        <x:v>Moderate-hard; swarming zombies drain health fast with a pad</x:v>
      </x:c>
      <x:c r="AE78" s="9" t="str">
        <x:v>One ending; failure sequences</x:v>
      </x:c>
      <x:c r="AF78" s="9" t="str">
        <x:v>The 3DO manual never mentions light-gun support, yet the Gamegun works. Japan got it on August 25, 1995 via Acclaim Japan.</x:v>
      </x:c>
      <x:c r="AG78" s="9" t="str">
        <x:v>NA longbox, Japanese Acclaim release, PAL release; single disc</x:v>
      </x:c>
      <x:c r="AH78" s="9" t="str">
        <x:v>Yes (Corpse Killer 25th Anniversary Edition — PS4, Switch, Steam; Limited Run physical)</x:v>
      </x:c>
      <x:c r="AI78" s="9" t="str">
        <x:v>Easy</x:v>
      </x:c>
      <x:c r="AJ78" s="9"/>
      <x:c r="AK78" s="9" t="str">
        <x:v>Release dating is inconsistent across sources (NA 1994 vs March 1, 1995; PAL Aug 1994; JP Aug 25, 1995). Single disc on 3DO (ROM sets list one disc, about 460 MB); the Saturn version is the 2-disc one.</x:v>
      </x:c>
      <x:c r="AL78" s="10" t="n">
        <x:v>24.99</x:v>
      </x:c>
      <x:c r="AM78" s="10" t="n">
        <x:v>50</x:v>
      </x:c>
      <x:c r="AN78" s="10" t="n">
        <x:v>173.06</x:v>
      </x:c>
      <x:c r="AO78" s="9" t="str">
        <x:v>2026-10-20</x:v>
      </x:c>
      <x:c r="AP78" s="11" t="str">
        <x:f>HYPERLINK("https://www.pricecharting.com/search-products?q=Corpse+Killer+3do&amp;type=prices","PriceCharting")</x:f>
        <x:v>PriceCharting</x:v>
      </x:c>
      <x:c r="AQ78" s="9"/>
      <x:c r="AR78" s="9"/>
      <x:c r="AS78" s="9"/>
      <x:c r="AT78" s="9"/>
      <x:c r="AU78" s="9"/>
      <x:c r="AV78" s="9"/>
      <x:c r="AW78" s="9"/>
      <x:c r="AX78" s="9"/>
      <x:c r="AY78" s="9"/>
      <x:c r="AZ78" s="9"/>
      <x:c r="BA78" s="11" t="str">
        <x:f>HYPERLINK("https://www.mobygames.com/game/3do/corpse-killer","MobyGames")</x:f>
        <x:v>MobyGames</x:v>
      </x:c>
      <x:c r="BB78" s="9"/>
      <x:c r="BC78" s="9"/>
      <x:c r="BD78" s="9"/>
      <x:c r="BE78" s="11" t="str">
        <x:f>HYPERLINK("https://en.wikipedia.org/wiki/Corpse_Killer","Wikipedia")</x:f>
        <x:v>Wikipedia</x:v>
      </x:c>
      <x:c r="BF78" s="11" t="str">
        <x:f>HYPERLINK("https://backloggd.com/search/games/Corpse%20Killer/","Backloggd")</x:f>
        <x:v>Backloggd</x:v>
      </x:c>
      <x:c r="BG78" s="9"/>
      <x:c r="BH78" s="9"/>
      <x:c r="BI78" s="12" t="str">
        <x:v>No</x:v>
      </x:c>
      <x:c r="BJ78" s="12" t="str"/>
      <x:c r="BK78" s="12" t="str">
        <x:v>No</x:v>
      </x:c>
      <x:c r="BL78" s="12" t="str"/>
      <x:c r="BM78" s="12" t="str"/>
      <x:c r="BN78" s="12" t="str"/>
      <x:c r="BO78" s="12" t="str"/>
      <x:c r="BP78" s="12" t="str"/>
      <x:c r="BQ78" s="12" t="str"/>
    </x:row>
    <x:row r="79">
      <x:c r="A79" s="9" t="str">
        <x:v>3do-11</x:v>
      </x:c>
      <x:c r="B79" s="9" t="str">
        <x:v>supreme-warrior</x:v>
      </x:c>
      <x:c r="C79" s="9" t="str">
        <x:v>3DO</x:v>
      </x:c>
      <x:c r="D79" s="9" t="str">
        <x:v>Supreme Warrior</x:v>
      </x:c>
      <x:c r="E79" s="9" t="str"/>
      <x:c r="F79" s="9" t="str">
        <x:v>Digital Pictures</x:v>
      </x:c>
      <x:c r="G79" s="9" t="str">
        <x:v>Digital Pictures / Acclaim Distribution (NA), Acclaim Japan (JP); EU Feb 1995 and AU Apr 1995 releases (Wikipedia)</x:v>
      </x:c>
      <x:c r="H79" s="9" t="n">
        <x:v>1994</x:v>
      </x:c>
      <x:c r="I79" s="9" t="str">
        <x:v>Yes</x:v>
      </x:c>
      <x:c r="J79" s="9" t="str">
        <x:v>Yes</x:v>
      </x:c>
      <x:c r="K79" s="9" t="str">
        <x:v>Yes</x:v>
      </x:c>
      <x:c r="L79" s="9" t="str">
        <x:v>No</x:v>
      </x:c>
      <x:c r="M79" s="9" t="str">
        <x:v>First-person FMV fighting</x:v>
      </x:c>
      <x:c r="N79" s="9" t="str">
        <x:v>Live-action</x:v>
      </x:c>
      <x:c r="O79" s="9" t="n">
        <x:v>9</x:v>
      </x:c>
      <x:c r="P79" s="9" t="str">
        <x:v>Digital Pictures</x:v>
      </x:c>
      <x:c r="Q79" s="9" t="str">
        <x:v>Released</x:v>
      </x:c>
      <x:c r="R79" s="9" t="str">
        <x:v>Original production, shot on Shaw Brothers Studio sets in Hong Kong</x:v>
      </x:c>
      <x:c r="S79" s="9" t="str">
        <x:v>Sega CD, 32X CD, Windows, Mac</x:v>
      </x:c>
      <x:c r="T79" s="9" t="str">
        <x:v>Vivian Wu (Wu Ching), Roger Yuan (Fang Tu), Richard Norton, Chuck Jeffreys, Ron Yuan (warlords)</x:v>
      </x:c>
      <x:c r="U79" s="9" t="n">
        <x:v>2</x:v>
      </x:c>
      <x:c r="V79" s="9" t="str">
        <x:v>No (passwords)</x:v>
      </x:c>
      <x:c r="W79" s="9" t="str">
        <x:v>Standard control pad</x:v>
      </x:c>
      <x:c r="X79" s="9" t="str">
        <x:v>Low</x:v>
      </x:c>
      <x:c r="Y79" s="9" t="str"/>
      <x:c r="Z79" s="9" t="str">
        <x:v>1–1.5 hr</x:v>
      </x:c>
      <x:c r="AA79" s="9" t="str">
        <x:v>A first-person kung fu movie shot at the Shaw Brothers studios with Richard Norton, played through a stuntman's head-cam.</x:v>
      </x:c>
      <x:c r="AB79" s="9" t="str">
        <x:v>None known</x:v>
      </x:c>
      <x:c r="AC79" s="9" t="str">
        <x:v>Roughly three-quarter-screen window, among the best video on 3DO per EGM; ~15 fps — verify size</x:v>
      </x:c>
      <x:c r="AD79" s="9" t="str">
        <x:v>Very hard; blocking timing rarely registers</x:v>
      </x:c>
      <x:c r="AE79" s="9" t="str">
        <x:v>One ending (defeat Fang Tu after four warlords); failure scenes</x:v>
      </x:c>
      <x:c r="AF79" s="9" t="str">
        <x:v>Fights were filmed with a minicam strapped to the stunt coordinator's head. The Cantonese dub is out of sync because the actors spoke English on set.</x:v>
      </x:c>
      <x:c r="AG79" s="9" t="str">
        <x:v>NA longbox (Nov 1994), PAL (Feb 1995), Australia (Apr 1995), Japan (Acclaim, Aug 1995); 2-disc set</x:v>
      </x:c>
      <x:c r="AH79" s="9" t="str">
        <x:v>No</x:v>
      </x:c>
      <x:c r="AI79" s="9" t="str">
        <x:v>Easy</x:v>
      </x:c>
      <x:c r="AJ79" s="9"/>
      <x:c r="AK79" s="9" t="str">
        <x:v>EGM 5/10 x4, Next Gen 2/5, Video Game Critic F. Save method unverified (passwords assumed). Two discs (ROM sets list Disc 1 and 2).</x:v>
      </x:c>
      <x:c r="AL79" s="10" t="n">
        <x:v>23.13</x:v>
      </x:c>
      <x:c r="AM79" s="10" t="n">
        <x:v>46.8</x:v>
      </x:c>
      <x:c r="AN79" s="10" t="n">
        <x:v>126.19</x:v>
      </x:c>
      <x:c r="AO79" s="9" t="str">
        <x:v>2026-10-20</x:v>
      </x:c>
      <x:c r="AP79" s="11" t="str">
        <x:f>HYPERLINK("https://www.pricecharting.com/search-products?q=Supreme+Warrior+3do&amp;type=prices","PriceCharting")</x:f>
        <x:v>PriceCharting</x:v>
      </x:c>
      <x:c r="AQ79" s="9"/>
      <x:c r="AR79" s="9"/>
      <x:c r="AS79" s="9"/>
      <x:c r="AT79" s="9"/>
      <x:c r="AU79" s="9"/>
      <x:c r="AV79" s="9"/>
      <x:c r="AW79" s="9"/>
      <x:c r="AX79" s="9"/>
      <x:c r="AY79" s="9"/>
      <x:c r="AZ79" s="9"/>
      <x:c r="BA79" s="11" t="str">
        <x:f>HYPERLINK("https://www.mobygames.com/game/3do/supreme-warrior","MobyGames")</x:f>
        <x:v>MobyGames</x:v>
      </x:c>
      <x:c r="BB79" s="9" t="str">
        <x:v>50%</x:v>
      </x:c>
      <x:c r="BC79" s="9" t="str">
        <x:v>GameRankings, 1 review</x:v>
      </x:c>
      <x:c r="BD79" s="9" t="str">
        <x:f>HYPERLINK("https://web.archive.org/web/20191209010914id_/https://www.gamerankings.com/3do/584509-supreme-warrior/","Source")</x:f>
        <x:v>Source</x:v>
      </x:c>
      <x:c r="BE79" s="11" t="str">
        <x:f>HYPERLINK("https://en.wikipedia.org/wiki/Supreme_Warrior","Wikipedia")</x:f>
        <x:v>Wikipedia</x:v>
      </x:c>
      <x:c r="BF79" s="11" t="str">
        <x:f>HYPERLINK("https://backloggd.com/search/games/Supreme%20Warrior/","Backloggd")</x:f>
        <x:v>Backloggd</x:v>
      </x:c>
      <x:c r="BG79" s="9"/>
      <x:c r="BH79" s="9"/>
      <x:c r="BI79" s="12" t="str">
        <x:v>No</x:v>
      </x:c>
      <x:c r="BJ79" s="12" t="str"/>
      <x:c r="BK79" s="12" t="str">
        <x:v>No</x:v>
      </x:c>
      <x:c r="BL79" s="12" t="str"/>
      <x:c r="BM79" s="12" t="str"/>
      <x:c r="BN79" s="12" t="str"/>
      <x:c r="BO79" s="12" t="str"/>
      <x:c r="BP79" s="12" t="str"/>
      <x:c r="BQ79" s="12" t="str"/>
    </x:row>
    <x:row r="80">
      <x:c r="A80" s="9" t="str">
        <x:v>3do-12</x:v>
      </x:c>
      <x:c r="B80" s="9" t="str">
        <x:v>quarterback-attack-with-mike-ditka</x:v>
      </x:c>
      <x:c r="C80" s="9" t="str">
        <x:v>3DO</x:v>
      </x:c>
      <x:c r="D80" s="9" t="str">
        <x:v>Quarterback Attack with Mike Ditka</x:v>
      </x:c>
      <x:c r="E80" s="9" t="str">
        <x:v>Quarterback Attack</x:v>
      </x:c>
      <x:c r="F80" s="9" t="str">
        <x:v>Digital Pictures</x:v>
      </x:c>
      <x:c r="G80" s="9" t="str">
        <x:v>Digital Pictures / Acclaim Distribution (NA)</x:v>
      </x:c>
      <x:c r="H80" s="9" t="n">
        <x:v>1995</x:v>
      </x:c>
      <x:c r="I80" s="9" t="str">
        <x:v>Yes</x:v>
      </x:c>
      <x:c r="J80" s="9" t="str">
        <x:v>No</x:v>
      </x:c>
      <x:c r="K80" s="9" t="str">
        <x:v>No</x:v>
      </x:c>
      <x:c r="L80" s="9" t="str">
        <x:v>No</x:v>
      </x:c>
      <x:c r="M80" s="9" t="str">
        <x:v>Sports (American football) FMV</x:v>
      </x:c>
      <x:c r="N80" s="9" t="str">
        <x:v>Live-action</x:v>
      </x:c>
      <x:c r="O80" s="9" t="n">
        <x:v>9</x:v>
      </x:c>
      <x:c r="P80" s="9" t="str">
        <x:v>Sports w/ FMV</x:v>
      </x:c>
      <x:c r="Q80" s="9" t="str">
        <x:v>Released</x:v>
      </x:c>
      <x:c r="R80" s="9" t="str">
        <x:v>Original production (filmed over two weeks, ~$2 million budget)</x:v>
      </x:c>
      <x:c r="S80" s="9" t="str">
        <x:v>Sega Saturn, DOS; iOS/Android remaster (2016)</x:v>
      </x:c>
      <x:c r="T80" s="9" t="str">
        <x:v>Mike Ditka (head coach); unlicensed actor players</x:v>
      </x:c>
      <x:c r="U80" s="9" t="n">
        <x:v>1</x:v>
      </x:c>
      <x:c r="V80" s="9" t="str">
        <x:v>No (passwords)</x:v>
      </x:c>
      <x:c r="W80" s="9" t="str">
        <x:v>Standard control pad</x:v>
      </x:c>
      <x:c r="X80" s="9" t="str">
        <x:v>Low</x:v>
      </x:c>
      <x:c r="Y80" s="9" t="str"/>
      <x:c r="Z80" s="9" t="str">
        <x:v>1–2 hr season</x:v>
      </x:c>
      <x:c r="AA80" s="9" t="str">
        <x:v>Mike Ditka screams at you from the sideline in a first-person FMV football game whose footage later turned up in the 2003 film Game Over.</x:v>
      </x:c>
      <x:c r="AB80" s="9" t="str">
        <x:v>None known</x:v>
      </x:c>
      <x:c r="AC80" s="9" t="str">
        <x:v>Large window, praised video quality by GamePro; ~15 fps — verify size</x:v>
      </x:c>
      <x:c r="AD80" s="9" t="str">
        <x:v>Moderate; read-and-react passing with a timing window</x:v>
      </x:c>
      <x:c r="AE80" s="9" t="str">
        <x:v>Win the season/championship; one ending</x:v>
      </x:c>
      <x:c r="AF80" s="9" t="str">
        <x:v>Asked if it was hard to bring his energy to a film crew, Ditka replied 'It's not that hard to do, really.' No NFL licence, so teams and players are fictional.</x:v>
      </x:c>
      <x:c r="AG80" s="9" t="str">
        <x:v>NA longbox only</x:v>
      </x:c>
      <x:c r="AH80" s="9" t="str">
        <x:v>Yes (iOS/Android, 2016 — may be delisted)</x:v>
      </x:c>
      <x:c r="AI80" s="9" t="str">
        <x:v>Easy</x:v>
      </x:c>
      <x:c r="AJ80" s="9"/>
      <x:c r="AK80" s="9" t="str">
        <x:v>3DO release Nov 27, 1995. Disc count and save method unverified.</x:v>
      </x:c>
      <x:c r="AL80" s="10" t="n">
        <x:v>9.98</x:v>
      </x:c>
      <x:c r="AM80" s="10" t="n">
        <x:v>48</x:v>
      </x:c>
      <x:c r="AN80" s="10" t="n">
        <x:v>96</x:v>
      </x:c>
      <x:c r="AO80" s="9" t="str">
        <x:v>2026-10-20</x:v>
      </x:c>
      <x:c r="AP80" s="11" t="str">
        <x:f>HYPERLINK("https://www.pricecharting.com/search-products?q=Quarterback+Attack+with+Mike+Ditka+3do&amp;type=prices","PriceCharting")</x:f>
        <x:v>PriceCharting</x:v>
      </x:c>
      <x:c r="AQ80" s="9"/>
      <x:c r="AR80" s="9"/>
      <x:c r="AS80" s="9"/>
      <x:c r="AT80" s="9"/>
      <x:c r="AU80" s="9"/>
      <x:c r="AV80" s="9"/>
      <x:c r="AW80" s="9"/>
      <x:c r="AX80" s="9"/>
      <x:c r="AY80" s="9"/>
      <x:c r="AZ80" s="9"/>
      <x:c r="BA80" s="11" t="str">
        <x:f>HYPERLINK("https://www.mobygames.com/game/3do/quarterback-attack","MobyGames")</x:f>
        <x:v>MobyGames</x:v>
      </x:c>
      <x:c r="BB80" s="9"/>
      <x:c r="BC80" s="9"/>
      <x:c r="BD80" s="9"/>
      <x:c r="BE80" s="11" t="str">
        <x:f>HYPERLINK("https://en.wikipedia.org/wiki/Quarterback_Attack","Wikipedia")</x:f>
        <x:v>Wikipedia</x:v>
      </x:c>
      <x:c r="BF80" s="11" t="str">
        <x:f>HYPERLINK("https://backloggd.com/search/games/Quarterback%20Attack%20with%20Mike%20Ditka/","Backloggd")</x:f>
        <x:v>Backloggd</x:v>
      </x:c>
      <x:c r="BG80" s="9"/>
      <x:c r="BH80" s="9"/>
      <x:c r="BI80" s="12" t="str">
        <x:v>No</x:v>
      </x:c>
      <x:c r="BJ80" s="12" t="str"/>
      <x:c r="BK80" s="12" t="str">
        <x:v>No</x:v>
      </x:c>
      <x:c r="BL80" s="12" t="str"/>
      <x:c r="BM80" s="12" t="str"/>
      <x:c r="BN80" s="12" t="str"/>
      <x:c r="BO80" s="12" t="str"/>
      <x:c r="BP80" s="12" t="str"/>
      <x:c r="BQ80" s="12" t="str"/>
    </x:row>
    <x:row r="81">
      <x:c r="A81" s="9" t="str">
        <x:v>3do-13</x:v>
      </x:c>
      <x:c r="B81" s="9" t="str">
        <x:v>dragons-lair</x:v>
      </x:c>
      <x:c r="C81" s="9" t="str">
        <x:v>3DO</x:v>
      </x:c>
      <x:c r="D81" s="9" t="str">
        <x:v>Dragon's Lair</x:v>
      </x:c>
      <x:c r="E81" s="9" t="str">
        <x:v>ドラゴンズレア (JP)</x:v>
      </x:c>
      <x:c r="F81" s="9" t="str">
        <x:v>ReadySoft (port); Don Bluth / Cinematronics original</x:v>
      </x:c>
      <x:c r="G81" s="9" t="str">
        <x:v>ReadySoft (NA/PAL), T&amp;E Soft (JP)</x:v>
      </x:c>
      <x:c r="H81" s="9" t="n">
        <x:v>1994</x:v>
      </x:c>
      <x:c r="I81" s="9" t="str">
        <x:v>Yes</x:v>
      </x:c>
      <x:c r="J81" s="9" t="str">
        <x:v>Yes</x:v>
      </x:c>
      <x:c r="K81" s="9" t="str">
        <x:v>Yes</x:v>
      </x:c>
      <x:c r="L81" s="9" t="str">
        <x:v>No</x:v>
      </x:c>
      <x:c r="M81" s="9" t="str">
        <x:v>QTE laserdisc action</x:v>
      </x:c>
      <x:c r="N81" s="9" t="str">
        <x:v>Animated</x:v>
      </x:c>
      <x:c r="O81" s="9" t="n">
        <x:v>10</x:v>
      </x:c>
      <x:c r="P81" s="9" t="str">
        <x:v>Laserdisc port</x:v>
      </x:c>
      <x:c r="Q81" s="9" t="str">
        <x:v>Released</x:v>
      </x:c>
      <x:c r="R81" s="9" t="str">
        <x:v>Arcade laserdisc game (Cinematronics/Don Bluth, 1983)</x:v>
      </x:c>
      <x:c r="S81" s="9" t="str">
        <x:v>Arcade, Sega CD, CD-i, Jaguar CD, DOS, Mac, Amiga, DVD, Blu-ray, Wii, DSiWare, iOS, PS3, Android, Switch, Steam, PS4, Xbox</x:v>
      </x:c>
      <x:c r="T81" s="9" t="str">
        <x:v>Don Bluth (director/animator), Dan Molina (Dirk), Vera Lanpher-Pacheco (Daphne)</x:v>
      </x:c>
      <x:c r="U81" s="9" t="n">
        <x:v>1</x:v>
      </x:c>
      <x:c r="V81" s="9" t="str">
        <x:v>No</x:v>
      </x:c>
      <x:c r="W81" s="9" t="str">
        <x:v>Standard control pad</x:v>
      </x:c>
      <x:c r="X81" s="9" t="str">
        <x:v>Low–Med</x:v>
      </x:c>
      <x:c r="Y81" s="9" t="str">
        <x:v>Dragon's Lair animation/score matched by Digital Leisure's many re-releases</x:v>
      </x:c>
      <x:c r="Z81" s="9" t="str">
        <x:v>15–30 min</x:v>
      </x:c>
      <x:c r="AA81" s="9" t="str">
        <x:v>Don Bluth's 1983 laserdisc classic finally in near-full-screen colour on a console, if you can tolerate the input lag.</x:v>
      </x:c>
      <x:c r="AB81" s="9" t="str">
        <x:v>Unlimited lives: at the title press Up, Down, Left, Right, Up, Down, Left, Right. View every scene: lose all lives, then on the continue screen press Right, Right, Left, Left, Down, Down, Up, Up, P. (GameFAQs)</x:v>
      </x:c>
      <x:c r="AC81" s="9" t="str">
        <x:v>Near full-screen (letterboxed) Cinepak video at reduced frame rate (~12-15 fps vs 24); input response laggy — verify</x:v>
      </x:c>
      <x:c r="AD81" s="9" t="str">
        <x:v>Hard; memorisation-based with sluggish move windows</x:v>
      </x:c>
      <x:c r="AE81" s="9" t="str">
        <x:v>Linear with random room order; one ending (rescue Daphne)</x:v>
      </x:c>
      <x:c r="AF81" s="9" t="str">
        <x:v>Japan got the 3DO version first (T&amp;E Soft, March 1994). A Dragon's Lair II 3DO port was announced but only survives as a non-playable demo on Brain Dead 13's 3DO disc.</x:v>
      </x:c>
      <x:c r="AG81" s="9" t="str">
        <x:v>NA longbox (June 1994), PAL, Japanese T&amp;E Soft release</x:v>
      </x:c>
      <x:c r="AH81" s="9" t="str">
        <x:v>Yes (Dragon's Lair Trilogy — Steam, Switch, PS4, Xbox; Arcade1Up)</x:v>
      </x:c>
      <x:c r="AI81" s="9" t="str">
        <x:v>Easy</x:v>
      </x:c>
      <x:c r="AJ81" s="9"/>
      <x:c r="AK81" s="9" t="str">
        <x:v>Wikipedia main article has no 3DO detail; dates from the List of 3DO games.</x:v>
      </x:c>
      <x:c r="AL81" s="10" t="n">
        <x:v>20.37</x:v>
      </x:c>
      <x:c r="AM81" s="10" t="n">
        <x:v>55</x:v>
      </x:c>
      <x:c r="AN81" s="10" t="n">
        <x:v>125</x:v>
      </x:c>
      <x:c r="AO81" s="9" t="str">
        <x:v>2026-10-20</x:v>
      </x:c>
      <x:c r="AP81" s="11" t="str">
        <x:f>HYPERLINK("https://www.pricecharting.com/search-products?q=Dragon%27s+Lair+3do&amp;type=prices","PriceCharting")</x:f>
        <x:v>PriceCharting</x:v>
      </x:c>
      <x:c r="AQ81" s="9"/>
      <x:c r="AR81" s="9"/>
      <x:c r="AS81" s="9"/>
      <x:c r="AT81" s="9"/>
      <x:c r="AU81" s="9"/>
      <x:c r="AV81" s="9"/>
      <x:c r="AW81" s="9"/>
      <x:c r="AX81" s="9"/>
      <x:c r="AY81" s="9"/>
      <x:c r="AZ81" s="9"/>
      <x:c r="BA81" s="11" t="str">
        <x:f>HYPERLINK("https://www.mobygames.com/game/3do/dragons-lair","MobyGames")</x:f>
        <x:v>MobyGames</x:v>
      </x:c>
      <x:c r="BB81" s="9" t="str">
        <x:v>70%</x:v>
      </x:c>
      <x:c r="BC81" s="9" t="str">
        <x:v>GameRankings, 1 review</x:v>
      </x:c>
      <x:c r="BD81" s="9" t="str">
        <x:f>HYPERLINK("https://web.archive.org/web/20191209012055id_/https://www.gamerankings.com/3do/584343-dragons-lair/","Source")</x:f>
        <x:v>Source</x:v>
      </x:c>
      <x:c r="BE81" s="11" t="str">
        <x:f>HYPERLINK("https://en.wikipedia.org/wiki/Dragon%27s_Lair","Wikipedia")</x:f>
        <x:v>Wikipedia</x:v>
      </x:c>
      <x:c r="BF81" s="11" t="str">
        <x:f>HYPERLINK("https://backloggd.com/search/games/Dragon%27s%20Lair/","Backloggd")</x:f>
        <x:v>Backloggd</x:v>
      </x:c>
      <x:c r="BG81" s="9"/>
      <x:c r="BH81" s="9"/>
      <x:c r="BI81" s="12" t="str">
        <x:v>No</x:v>
      </x:c>
      <x:c r="BJ81" s="12" t="str"/>
      <x:c r="BK81" s="12" t="str">
        <x:v>No</x:v>
      </x:c>
      <x:c r="BL81" s="12" t="str"/>
      <x:c r="BM81" s="12" t="str"/>
      <x:c r="BN81" s="12" t="str"/>
      <x:c r="BO81" s="12" t="str"/>
      <x:c r="BP81" s="12" t="str"/>
      <x:c r="BQ81" s="12" t="str"/>
    </x:row>
    <x:row r="82">
      <x:c r="A82" s="9" t="str">
        <x:v>3do-14</x:v>
      </x:c>
      <x:c r="B82" s="9" t="str">
        <x:v>space-ace</x:v>
      </x:c>
      <x:c r="C82" s="9" t="str">
        <x:v>3DO</x:v>
      </x:c>
      <x:c r="D82" s="9" t="str">
        <x:v>Space Ace</x:v>
      </x:c>
      <x:c r="E82" s="9" t="str"/>
      <x:c r="F82" s="9" t="str">
        <x:v>ReadySoft (port); Don Bluth / Cinematronics original</x:v>
      </x:c>
      <x:c r="G82" s="9" t="str">
        <x:v>ReadySoft (NA)</x:v>
      </x:c>
      <x:c r="H82" s="9" t="n">
        <x:v>1995</x:v>
      </x:c>
      <x:c r="I82" s="9" t="str">
        <x:v>Yes</x:v>
      </x:c>
      <x:c r="J82" s="9" t="str">
        <x:v>No</x:v>
      </x:c>
      <x:c r="K82" s="9" t="str">
        <x:v>No</x:v>
      </x:c>
      <x:c r="L82" s="9" t="str">
        <x:v>No</x:v>
      </x:c>
      <x:c r="M82" s="9" t="str">
        <x:v>QTE laserdisc action</x:v>
      </x:c>
      <x:c r="N82" s="9" t="str">
        <x:v>Animated</x:v>
      </x:c>
      <x:c r="O82" s="9" t="n">
        <x:v>10</x:v>
      </x:c>
      <x:c r="P82" s="9" t="str">
        <x:v>Laserdisc port</x:v>
      </x:c>
      <x:c r="Q82" s="9" t="str">
        <x:v>Released</x:v>
      </x:c>
      <x:c r="R82" s="9" t="str">
        <x:v>Arcade laserdisc game (Cinematronics/Don Bluth, 1984)</x:v>
      </x:c>
      <x:c r="S82" s="9" t="str">
        <x:v>Arcade, Amiga, ST, Apple IIGS, DOS, Mac, Sega CD, CD-i, Jaguar CD, DVD, Blu-ray, Wii, DSiWare, iOS, PS3, Android, Switch, Steam</x:v>
      </x:c>
      <x:c r="T82" s="9" t="str">
        <x:v>Don Bluth (director); voices incl. Michael Rye (narrator)</x:v>
      </x:c>
      <x:c r="U82" s="9" t="n">
        <x:v>1</x:v>
      </x:c>
      <x:c r="V82" s="9" t="str">
        <x:v>No</x:v>
      </x:c>
      <x:c r="W82" s="9" t="str">
        <x:v>Standard control pad</x:v>
      </x:c>
      <x:c r="X82" s="9" t="str">
        <x:v>Low–Med</x:v>
      </x:c>
      <x:c r="Y82" s="9" t="str">
        <x:v>Space Ace animation/score matched by Digital Leisure re-releases</x:v>
      </x:c>
      <x:c r="Z82" s="9" t="str">
        <x:v>15–30 min</x:v>
      </x:c>
      <x:c r="AA82" s="9" t="str">
        <x:v>Bluth's second laserdisc epic lets you transform between Ace and Dexter mid-scene, but the 3DO port dropped animation frames and got harder for it.</x:v>
      </x:c>
      <x:c r="AB82" s="9" t="str">
        <x:v>GameFAQs lists no 3DO-specific codes. On the Sega CD version, pausing and pressing Right, Right, Left, Left, Down, Down, Up, Up, Start makes the game self-play; untested on 3DO. (GameFAQs)</x:v>
      </x:c>
      <x:c r="AC82" s="9" t="str">
        <x:v>Near full-screen Cinepak video with dropped frames (Video Game Critic); ~12-15 fps — verify</x:v>
      </x:c>
      <x:c r="AD82" s="9" t="str">
        <x:v>Very hard; memorisation with poor input response</x:v>
      </x:c>
      <x:c r="AE82" s="9" t="str">
        <x:v>Branching Ace/Dexter scene choices; one ending (defeat Borf)</x:v>
      </x:c>
      <x:c r="AF82" s="9" t="str">
        <x:v>Released late in the 3DO's life (July 1995) with no PAL or Japanese release, making it one of the rarer ReadySoft 3DO discs.</x:v>
      </x:c>
      <x:c r="AG82" s="9" t="str">
        <x:v>NA longbox only</x:v>
      </x:c>
      <x:c r="AH82" s="9" t="str">
        <x:v>Yes (Dragon's Lair Trilogy — Steam, Switch, PS4, Xbox)</x:v>
      </x:c>
      <x:c r="AI82" s="9" t="str">
        <x:v>Easy</x:v>
      </x:c>
      <x:c r="AJ82" s="9"/>
      <x:c r="AK82" s="9" t="str">
        <x:v>Video Game Critic D-. Wikipedia main article has no 3DO detail.</x:v>
      </x:c>
      <x:c r="AL82" s="10" t="n">
        <x:v>27.72</x:v>
      </x:c>
      <x:c r="AM82" s="10" t="n">
        <x:v>49.99</x:v>
      </x:c>
      <x:c r="AN82" s="10" t="n">
        <x:v>123.5</x:v>
      </x:c>
      <x:c r="AO82" s="9" t="str">
        <x:v>2026-10-20</x:v>
      </x:c>
      <x:c r="AP82" s="11" t="str">
        <x:f>HYPERLINK("https://www.pricecharting.com/search-products?q=Space+Ace+3do&amp;type=prices","PriceCharting")</x:f>
        <x:v>PriceCharting</x:v>
      </x:c>
      <x:c r="AQ82" s="9"/>
      <x:c r="AR82" s="9"/>
      <x:c r="AS82" s="9"/>
      <x:c r="AT82" s="9"/>
      <x:c r="AU82" s="9"/>
      <x:c r="AV82" s="9"/>
      <x:c r="AW82" s="9"/>
      <x:c r="AX82" s="9"/>
      <x:c r="AY82" s="9" t="str">
        <x:v>60%</x:v>
      </x:c>
      <x:c r="AZ82" s="9"/>
      <x:c r="BA82" s="11" t="str">
        <x:f>HYPERLINK("https://www.mobygames.com/game/3do/space-ace","MobyGames")</x:f>
        <x:v>MobyGames</x:v>
      </x:c>
      <x:c r="BB82" s="9"/>
      <x:c r="BC82" s="9"/>
      <x:c r="BD82" s="9"/>
      <x:c r="BE82" s="11" t="str">
        <x:f>HYPERLINK("https://en.wikipedia.org/wiki/Space_Ace","Wikipedia")</x:f>
        <x:v>Wikipedia</x:v>
      </x:c>
      <x:c r="BF82" s="11" t="str">
        <x:f>HYPERLINK("https://backloggd.com/search/games/Space%20Ace/","Backloggd")</x:f>
        <x:v>Backloggd</x:v>
      </x:c>
      <x:c r="BG82" s="9"/>
      <x:c r="BH82" s="9"/>
      <x:c r="BI82" s="12" t="str">
        <x:v>No</x:v>
      </x:c>
      <x:c r="BJ82" s="12" t="str"/>
      <x:c r="BK82" s="12" t="str">
        <x:v>No</x:v>
      </x:c>
      <x:c r="BL82" s="12" t="str"/>
      <x:c r="BM82" s="12" t="str"/>
      <x:c r="BN82" s="12" t="str"/>
      <x:c r="BO82" s="12" t="str"/>
      <x:c r="BP82" s="12" t="str"/>
      <x:c r="BQ82" s="12" t="str"/>
    </x:row>
    <x:row r="83">
      <x:c r="A83" s="9" t="str">
        <x:v>3do-15</x:v>
      </x:c>
      <x:c r="B83" s="9" t="str">
        <x:v>brain-dead-13</x:v>
      </x:c>
      <x:c r="C83" s="9" t="str">
        <x:v>3DO</x:v>
      </x:c>
      <x:c r="D83" s="9" t="str">
        <x:v>Brain Dead 13</x:v>
      </x:c>
      <x:c r="E83" s="9" t="str"/>
      <x:c r="F83" s="9" t="str">
        <x:v>ReadySoft</x:v>
      </x:c>
      <x:c r="G83" s="9" t="str">
        <x:v>ReadySoft (NA)</x:v>
      </x:c>
      <x:c r="H83" s="9" t="n">
        <x:v>1995</x:v>
      </x:c>
      <x:c r="I83" s="9" t="str">
        <x:v>Yes</x:v>
      </x:c>
      <x:c r="J83" s="9" t="str">
        <x:v>No</x:v>
      </x:c>
      <x:c r="K83" s="9" t="str">
        <x:v>No</x:v>
      </x:c>
      <x:c r="L83" s="9" t="str">
        <x:v>No</x:v>
      </x:c>
      <x:c r="M83" s="9" t="str">
        <x:v>QTE animated adventure</x:v>
      </x:c>
      <x:c r="N83" s="9" t="str">
        <x:v>Animated</x:v>
      </x:c>
      <x:c r="O83" s="9" t="n">
        <x:v>10</x:v>
      </x:c>
      <x:c r="P83" s="9" t="str">
        <x:v>Laserdisc port</x:v>
      </x:c>
      <x:c r="Q83" s="9" t="str">
        <x:v>Released</x:v>
      </x:c>
      <x:c r="R83" s="9" t="str">
        <x:v>Original production (ReadySoft, 1995, PC/DOS first)</x:v>
      </x:c>
      <x:c r="S83" s="9" t="str">
        <x:v>DOS, Windows, Mac, PlayStation, Saturn, Jaguar CD, CD-i, iOS</x:v>
      </x:c>
      <x:c r="T83" s="9" t="str">
        <x:v>Voices: Riccardo Durante (Lance), Dave Quesnelle (Dr. Neurosis), Joe Giampapa (Fritz), June Brown (Vivi), Blayne Burnside (Moose)</x:v>
      </x:c>
      <x:c r="U83" s="9" t="n">
        <x:v>2</x:v>
      </x:c>
      <x:c r="V83" s="9" t="str">
        <x:v>No</x:v>
      </x:c>
      <x:c r="W83" s="9" t="str">
        <x:v>Standard control pad</x:v>
      </x:c>
      <x:c r="X83" s="9" t="str">
        <x:v>Low</x:v>
      </x:c>
      <x:c r="Y83" s="9" t="str"/>
      <x:c r="Z83" s="9" t="str">
        <x:v>30–60 min</x:v>
      </x:c>
      <x:c r="AA83" s="9" t="str">
        <x:v>A Dragon's Lair-style cartoon made in Toronto, with Fritz the deranged mascot and the best video of any version thanks to a two-disc 3DO release.</x:v>
      </x:c>
      <x:c r="AB83" s="9" t="str">
        <x:v>None known</x:v>
      </x:c>
      <x:c r="AC83" s="9" t="str">
        <x:v>Near full-screen, higher quality than PC/Saturn/Jaguar single-disc versions; ~15 fps — verify</x:v>
      </x:c>
      <x:c r="AD83" s="9" t="str">
        <x:v>Hard; unlimited lives but trial-and-error death scenes</x:v>
      </x:c>
      <x:c r="AE83" s="9" t="str">
        <x:v>Non-linear castle exploration; one ending (defeat Dr. Neurosis)</x:v>
      </x:c>
      <x:c r="AF83" s="9" t="str">
        <x:v>Disc 1 exists in an original and a v1.1 pressing that fixes a crash in Vivi's salon. The disc also carries a non-playable Dragon's Lair II 3DO demo.</x:v>
      </x:c>
      <x:c r="AG83" s="9" t="str">
        <x:v>NA longbox; Disc 1 original vs v1.1 revision</x:v>
      </x:c>
      <x:c r="AH83" s="9" t="str">
        <x:v>No verified current digital sale; historical iOS edition and original discs.</x:v>
      </x:c>
      <x:c r="AI83" s="9" t="str">
        <x:v>Easy</x:v>
      </x:c>
      <x:c r="AJ83" s="9"/>
      <x:c r="AK83" s="9" t="str">
        <x:v>3DO release Dec 15, 1995 (or 1996 per main article). EGM 9/7.5/7/7, AllGame 3.5/5.</x:v>
      </x:c>
      <x:c r="AL83" s="10" t="n">
        <x:v>35.63</x:v>
      </x:c>
      <x:c r="AM83" s="10" t="n">
        <x:v>91.36</x:v>
      </x:c>
      <x:c r="AN83" s="10" t="n">
        <x:v>101.3</x:v>
      </x:c>
      <x:c r="AO83" s="9" t="str">
        <x:v>2026-10-20</x:v>
      </x:c>
      <x:c r="AP83" s="11" t="str">
        <x:f>HYPERLINK("https://www.pricecharting.com/search-products?q=Brain+Dead+13+3do&amp;type=prices","PriceCharting")</x:f>
        <x:v>PriceCharting</x:v>
      </x:c>
      <x:c r="AQ83" s="9"/>
      <x:c r="AR83" s="9"/>
      <x:c r="AS83" s="9"/>
      <x:c r="AT83" s="9"/>
      <x:c r="AU83" s="9"/>
      <x:c r="AV83" s="9"/>
      <x:c r="AW83" s="9"/>
      <x:c r="AX83" s="9"/>
      <x:c r="AY83" s="9" t="str">
        <x:v>69%</x:v>
      </x:c>
      <x:c r="AZ83" s="9" t="str">
        <x:v>3.3</x:v>
      </x:c>
      <x:c r="BA83" s="11" t="str">
        <x:f>HYPERLINK("https://www.mobygames.com/game/3do/brain-dead-13","MobyGames")</x:f>
        <x:v>MobyGames</x:v>
      </x:c>
      <x:c r="BB83" s="9"/>
      <x:c r="BC83" s="9"/>
      <x:c r="BD83" s="9"/>
      <x:c r="BE83" s="11" t="str">
        <x:f>HYPERLINK("https://en.wikipedia.org/wiki/Brain_Dead_13","Wikipedia")</x:f>
        <x:v>Wikipedia</x:v>
      </x:c>
      <x:c r="BF83" s="11" t="str">
        <x:f>HYPERLINK("https://backloggd.com/search/games/Brain%20Dead%2013/","Backloggd")</x:f>
        <x:v>Backloggd</x:v>
      </x:c>
      <x:c r="BG83" s="9"/>
      <x:c r="BH83" s="9"/>
      <x:c r="BI83" s="12" t="str">
        <x:v>No</x:v>
      </x:c>
      <x:c r="BJ83" s="12" t="str"/>
      <x:c r="BK83" s="12" t="str">
        <x:v>No</x:v>
      </x:c>
      <x:c r="BL83" s="12" t="str"/>
      <x:c r="BM83" s="12" t="str"/>
      <x:c r="BN83" s="12" t="str"/>
      <x:c r="BO83" s="12" t="str"/>
      <x:c r="BP83" s="12" t="str"/>
      <x:c r="BQ83" s="12" t="str"/>
    </x:row>
    <x:row r="84">
      <x:c r="A84" s="9" t="str">
        <x:v>3do-16</x:v>
      </x:c>
      <x:c r="B84" s="9" t="str">
        <x:v>triad-stone</x:v>
      </x:c>
      <x:c r="C84" s="9" t="str">
        <x:v>3DO</x:v>
      </x:c>
      <x:c r="D84" s="9" t="str">
        <x:v>Strahl</x:v>
      </x:c>
      <x:c r="E84" s="9" t="str">
        <x:v>Triad Stone (LaserActive); シュトラール (JP)</x:v>
      </x:c>
      <x:c r="F84" s="9" t="str">
        <x:v>Data East / Media Entertainment; animation by Toei Animation</x:v>
      </x:c>
      <x:c r="G84" s="9" t="str">
        <x:v>Panasonic (NA), Media Entertainment (JP)</x:v>
      </x:c>
      <x:c r="H84" s="9" t="n">
        <x:v>1994</x:v>
      </x:c>
      <x:c r="I84" s="9" t="str">
        <x:v>Yes</x:v>
      </x:c>
      <x:c r="J84" s="9" t="str">
        <x:v>Yes</x:v>
      </x:c>
      <x:c r="K84" s="9" t="str">
        <x:v>No</x:v>
      </x:c>
      <x:c r="L84" s="9" t="str">
        <x:v>No</x:v>
      </x:c>
      <x:c r="M84" s="9" t="str">
        <x:v>QTE anime action</x:v>
      </x:c>
      <x:c r="N84" s="9" t="str">
        <x:v>Animated</x:v>
      </x:c>
      <x:c r="O84" s="9" t="n">
        <x:v>10</x:v>
      </x:c>
      <x:c r="P84" s="9" t="str">
        <x:v>Laserdisc port</x:v>
      </x:c>
      <x:c r="Q84" s="9" t="str">
        <x:v>Released</x:v>
      </x:c>
      <x:c r="R84" s="9" t="str">
        <x:v>Pioneer LaserActive Mega-LD game Triad Stone (1993), itself from a shelved 1985 laserdisc arcade project 'Chantze's Stone'</x:v>
      </x:c>
      <x:c r="S84" s="9" t="str">
        <x:v>Pioneer LaserActive (as Triad Stone), Sega Saturn</x:v>
      </x:c>
      <x:c r="T84" s="9" t="str">
        <x:v>—</x:v>
      </x:c>
      <x:c r="U84" s="9" t="n">
        <x:v>1</x:v>
      </x:c>
      <x:c r="V84" s="9" t="str">
        <x:v>No</x:v>
      </x:c>
      <x:c r="W84" s="9" t="str">
        <x:v>Standard control pad</x:v>
      </x:c>
      <x:c r="X84" s="9" t="str">
        <x:v>Low</x:v>
      </x:c>
      <x:c r="Y84" s="9" t="str"/>
      <x:c r="Z84" s="9" t="str">
        <x:v>30–45 min</x:v>
      </x:c>
      <x:c r="AA84" s="9" t="str">
        <x:v>A lost 1985 Toei anime laserdisc game resurrected a decade later, with a 'Power! Power! Power!' button-mashing gimmick.</x:v>
      </x:c>
      <x:c r="AB84" s="9" t="str">
        <x:v>None known</x:v>
      </x:c>
      <x:c r="AC84" s="9" t="str">
        <x:v>Full-screen animation, 'on par with old Japanese cartoons like Speed Racer' (Video Game Critic); ~15 fps — verify</x:v>
      </x:c>
      <x:c r="AD84" s="9" t="str">
        <x:v>Easy per EGM; no difficulty select on 3DO</x:v>
      </x:c>
      <x:c r="AE84" s="9" t="str">
        <x:v>Stage-select structure; one ending</x:v>
      </x:c>
      <x:c r="AF84" s="9" t="str">
        <x:v>The 3DO version has a unique intro and stage-select art and omits the extra action sequences added to the Saturn version.</x:v>
      </x:c>
      <x:c r="AG84" s="9" t="str">
        <x:v>Japanese Media Entertainment release (Dec 1994), NA Panasonic longbox (July 1995)</x:v>
      </x:c>
      <x:c r="AH84" s="9" t="str">
        <x:v>No</x:v>
      </x:c>
      <x:c r="AI84" s="9" t="str">
        <x:v>Easy</x:v>
      </x:c>
      <x:c r="AJ84" s="9"/>
      <x:c r="AK84" s="9" t="str">
        <x:v>EGM 6.125/10, Next Gen 1/5, Video Game Critic C.</x:v>
      </x:c>
      <x:c r="AL84" s="10" t="n">
        <x:v>36.63</x:v>
      </x:c>
      <x:c r="AM84" s="10" t="n">
        <x:v>89.97</x:v>
      </x:c>
      <x:c r="AN84" s="10" t="n">
        <x:v>142.5</x:v>
      </x:c>
      <x:c r="AO84" s="9" t="str">
        <x:v>2026-10-20</x:v>
      </x:c>
      <x:c r="AP84" s="11" t="str">
        <x:f>HYPERLINK("https://www.pricecharting.com/search-products?q=Strahl+3do&amp;type=prices","PriceCharting")</x:f>
        <x:v>PriceCharting</x:v>
      </x:c>
      <x:c r="AQ84" s="9"/>
      <x:c r="AR84" s="9"/>
      <x:c r="AS84" s="9"/>
      <x:c r="AT84" s="9"/>
      <x:c r="AU84" s="9"/>
      <x:c r="AV84" s="9"/>
      <x:c r="AW84" s="9"/>
      <x:c r="AX84" s="9"/>
      <x:c r="AY84" s="9" t="str">
        <x:v>48%</x:v>
      </x:c>
      <x:c r="AZ84" s="9" t="str">
        <x:v>3.8</x:v>
      </x:c>
      <x:c r="BA84" s="11" t="str">
        <x:f>HYPERLINK("https://www.mobygames.com/game/3do/strahl","MobyGames")</x:f>
        <x:v>MobyGames</x:v>
      </x:c>
      <x:c r="BB84" s="9"/>
      <x:c r="BC84" s="9"/>
      <x:c r="BD84" s="9"/>
      <x:c r="BE84" s="11" t="str">
        <x:f>HYPERLINK("https://en.wikipedia.org/wiki/Strahl_(video_game)","Wikipedia")</x:f>
        <x:v>Wikipedia</x:v>
      </x:c>
      <x:c r="BF84" s="11" t="str">
        <x:f>HYPERLINK("https://backloggd.com/search/games/Strahl/","Backloggd")</x:f>
        <x:v>Backloggd</x:v>
      </x:c>
      <x:c r="BG84" s="9"/>
      <x:c r="BH84" s="9"/>
      <x:c r="BI84" s="12" t="str">
        <x:v>No</x:v>
      </x:c>
      <x:c r="BJ84" s="12" t="str"/>
      <x:c r="BK84" s="12" t="str">
        <x:v>No</x:v>
      </x:c>
      <x:c r="BL84" s="12" t="str"/>
      <x:c r="BM84" s="12" t="str"/>
      <x:c r="BN84" s="12" t="str"/>
      <x:c r="BO84" s="12" t="str"/>
      <x:c r="BP84" s="12" t="str"/>
      <x:c r="BQ84" s="12" t="str"/>
    </x:row>
    <x:row r="85">
      <x:c r="A85" s="9" t="str">
        <x:v>3do-17</x:v>
      </x:c>
      <x:c r="B85" s="9" t="str">
        <x:v>star-wars-rebel-assault</x:v>
      </x:c>
      <x:c r="C85" s="9" t="str">
        <x:v>3DO</x:v>
      </x:c>
      <x:c r="D85" s="9" t="str">
        <x:v>Star Wars: Rebel Assault</x:v>
      </x:c>
      <x:c r="E85" s="9" t="str"/>
      <x:c r="F85" s="9" t="str">
        <x:v>LucasArts</x:v>
      </x:c>
      <x:c r="G85" s="9" t="str">
        <x:v>LucasArts (NA), Electronic Arts (EU), Electronic Arts Victor (JP)</x:v>
      </x:c>
      <x:c r="H85" s="9" t="n">
        <x:v>1994</x:v>
      </x:c>
      <x:c r="I85" s="9" t="str">
        <x:v>Yes</x:v>
      </x:c>
      <x:c r="J85" s="9" t="str">
        <x:v>Yes</x:v>
      </x:c>
      <x:c r="K85" s="9" t="str">
        <x:v>Yes</x:v>
      </x:c>
      <x:c r="L85" s="9" t="str">
        <x:v>No</x:v>
      </x:c>
      <x:c r="M85" s="9" t="str">
        <x:v>Rail shooter / interactive movie</x:v>
      </x:c>
      <x:c r="N85" s="9" t="str">
        <x:v>Live-action + pre-rendered CG</x:v>
      </x:c>
      <x:c r="O85" s="9" t="n">
        <x:v>9</x:v>
      </x:c>
      <x:c r="P85" s="9" t="str">
        <x:v>Pre-rendered CG</x:v>
      </x:c>
      <x:c r="Q85" s="9" t="str">
        <x:v>Released</x:v>
      </x:c>
      <x:c r="R85" s="9" t="str">
        <x:v>PC original (MS-DOS, Nov 1993); Star Wars film license</x:v>
      </x:c>
      <x:c r="S85" s="9" t="str">
        <x:v>MS-DOS, Mac, Sega CD</x:v>
      </x:c>
      <x:c r="T85" s="9" t="str">
        <x:v>No film cast; new actors as Rookie One and Rebel pilots; digitized film footage and John Williams score</x:v>
      </x:c>
      <x:c r="U85" s="9" t="n">
        <x:v>1</x:v>
      </x:c>
      <x:c r="V85" s="9" t="str">
        <x:v>No (passwords)</x:v>
      </x:c>
      <x:c r="W85" s="9" t="str">
        <x:v>Standard 3DO controller; 3DO FlightStick Pro (verify)</x:v>
      </x:c>
      <x:c r="X85" s="9" t="str">
        <x:v>Med–High</x:v>
      </x:c>
      <x:c r="Y85" s="9" t="str">
        <x:v>John Williams Star Wars score and digitized clips from the original trilogy throughout</x:v>
      </x:c>
      <x:c r="Z85" s="9" t="str">
        <x:v>1–2 hr</x:v>
      </x:c>
      <x:c r="AA85" s="9" t="str">
        <x:v>The CD-ROM-era killer app that put you in a Star Wars movie, ported to the console built for exactly this.</x:v>
      </x:c>
      <x:c r="AB85" s="9" t="str">
        <x:v>Console ports give a password after every level; PC-only cheats (damage control, ending) — 3DO codes unverified</x:v>
      </x:c>
      <x:c r="AC85" s="9" t="str">
        <x:v>Close port of the PC version; low-res pre-rendered video scaled near full screen with sprite overlays, roughly 15 fps (verify)</x:v>
      </x:c>
      <x:c r="AD85" s="9" t="str">
        <x:v>Moderate; three difficulty settings, controls widely criticised as imprecise</x:v>
      </x:c>
      <x:c r="AE85" s="9" t="str">
        <x:v>Linear 15-chapter story; each chapter has a short 'alternate ending' death clip when lives run out</x:v>
      </x:c>
      <x:c r="AF85" s="9" t="str">
        <x:v>Sold around 1 million copies across platforms and is credited with accelerating CD-ROM adoption. A physical Star Destroyer model was digitised for one mission.</x:v>
      </x:c>
      <x:c r="AG85" s="9" t="str">
        <x:v>NA (LucasArts), PAL (EA), Japanese (EA Victor) releases; later NA reprints in slim case (verify)</x:v>
      </x:c>
      <x:c r="AH85" s="9" t="str">
        <x:v>No (3DO version); PC version sold on Steam/GOG via Disney/LucasArts</x:v>
      </x:c>
      <x:c r="AI85" s="9" t="str">
        <x:v>Easy</x:v>
      </x:c>
      <x:c r="AJ85" s="9"/>
      <x:c r="AK85" s="9" t="str">
        <x:v>3DO dates per Wikipedia 3DO list: NA Dec 1, 1994; JP Feb 17, 1995; PAL 1994. Next Generation gave the 3DO port 2/5.</x:v>
      </x:c>
      <x:c r="AL85" s="10" t="n">
        <x:v>18.41</x:v>
      </x:c>
      <x:c r="AM85" s="10" t="n">
        <x:v>63.75</x:v>
      </x:c>
      <x:c r="AN85" s="10" t="n">
        <x:v>156.73</x:v>
      </x:c>
      <x:c r="AO85" s="9" t="str">
        <x:v>2026-10-20</x:v>
      </x:c>
      <x:c r="AP85" s="11" t="str">
        <x:f>HYPERLINK("https://www.pricecharting.com/search-products?q=Star+Wars%3A+Rebel+Assault+3do&amp;type=prices","PriceCharting")</x:f>
        <x:v>PriceCharting</x:v>
      </x:c>
      <x:c r="AQ85" s="9"/>
      <x:c r="AR85" s="9"/>
      <x:c r="AS85" s="9"/>
      <x:c r="AT85" s="9"/>
      <x:c r="AU85" s="9"/>
      <x:c r="AV85" s="9"/>
      <x:c r="AW85" s="9"/>
      <x:c r="AX85" s="9"/>
      <x:c r="AY85" s="9" t="str">
        <x:v>73%</x:v>
      </x:c>
      <x:c r="AZ85" s="9" t="str">
        <x:v>3.6</x:v>
      </x:c>
      <x:c r="BA85" s="11" t="str">
        <x:f>HYPERLINK("https://www.mobygames.com/game/272/star-wars-rebel-assault/","MobyGames")</x:f>
        <x:v>MobyGames</x:v>
      </x:c>
      <x:c r="BB85" s="9"/>
      <x:c r="BC85" s="9"/>
      <x:c r="BD85" s="9"/>
      <x:c r="BE85" s="11" t="str">
        <x:f>HYPERLINK("https://en.wikipedia.org/wiki/Star_Wars:_Rebel_Assault","Wikipedia")</x:f>
        <x:v>Wikipedia</x:v>
      </x:c>
      <x:c r="BF85" s="11" t="str">
        <x:f>HYPERLINK("https://backloggd.com/search/games/Star%20Wars%3A%20Rebel%20Assault/","Backloggd")</x:f>
        <x:v>Backloggd</x:v>
      </x:c>
      <x:c r="BG85" s="9"/>
      <x:c r="BH85" s="9"/>
      <x:c r="BI85" s="12" t="str">
        <x:v>No</x:v>
      </x:c>
      <x:c r="BJ85" s="12" t="str"/>
      <x:c r="BK85" s="12" t="str">
        <x:v>No</x:v>
      </x:c>
      <x:c r="BL85" s="12" t="str"/>
      <x:c r="BM85" s="12" t="str"/>
      <x:c r="BN85" s="12" t="str"/>
      <x:c r="BO85" s="12" t="str"/>
      <x:c r="BP85" s="12" t="str"/>
      <x:c r="BQ85" s="12" t="str"/>
    </x:row>
    <x:row r="86">
      <x:c r="A86" s="9" t="str">
        <x:v>3do-18</x:v>
      </x:c>
      <x:c r="B86" s="9" t="str">
        <x:v>microcosm</x:v>
      </x:c>
      <x:c r="C86" s="9" t="str">
        <x:v>3DO</x:v>
      </x:c>
      <x:c r="D86" s="9" t="str">
        <x:v>Microcosm</x:v>
      </x:c>
      <x:c r="E86" s="9" t="str"/>
      <x:c r="F86" s="9" t="str">
        <x:v>Psygnosis</x:v>
      </x:c>
      <x:c r="G86" s="9" t="str">
        <x:v>Psygnosis (NA), T&amp;E Soft (JP)</x:v>
      </x:c>
      <x:c r="H86" s="9" t="n">
        <x:v>1994</x:v>
      </x:c>
      <x:c r="I86" s="9" t="str">
        <x:v>Yes</x:v>
      </x:c>
      <x:c r="J86" s="9" t="str">
        <x:v>Yes</x:v>
      </x:c>
      <x:c r="K86" s="9" t="str">
        <x:v>No</x:v>
      </x:c>
      <x:c r="L86" s="9" t="str">
        <x:v>No</x:v>
      </x:c>
      <x:c r="M86" s="9" t="str">
        <x:v>Rail shooter</x:v>
      </x:c>
      <x:c r="N86" s="9" t="str">
        <x:v>Pre-rendered CG</x:v>
      </x:c>
      <x:c r="O86" s="9" t="n">
        <x:v>9</x:v>
      </x:c>
      <x:c r="P86" s="9" t="str">
        <x:v>Pre-rendered CG</x:v>
      </x:c>
      <x:c r="Q86" s="9" t="str">
        <x:v>Released</x:v>
      </x:c>
      <x:c r="R86" s="9" t="str">
        <x:v>Original production (first on FM Towns, 1993)</x:v>
      </x:c>
      <x:c r="S86" s="9" t="str">
        <x:v>FM Towns, Sega CD, Amiga CD32, MS-DOS</x:v>
      </x:c>
      <x:c r="T86" s="9" t="str">
        <x:v>Rick Wakeman (Yes) composed the soundtrack</x:v>
      </x:c>
      <x:c r="U86" s="9" t="n">
        <x:v>1</x:v>
      </x:c>
      <x:c r="V86" s="9" t="str">
        <x:v>No</x:v>
      </x:c>
      <x:c r="W86" s="9" t="str">
        <x:v>Standard 3DO controller</x:v>
      </x:c>
      <x:c r="X86" s="9" t="str">
        <x:v>Low–Med</x:v>
      </x:c>
      <x:c r="Y86" s="9" t="str">
        <x:v>Rick Wakeman soundtrack could be fingerprinted if ever released commercially</x:v>
      </x:c>
      <x:c r="Z86" s="9" t="str">
        <x:v>1–2 hr</x:v>
      </x:c>
      <x:c r="AA86" s="9" t="str">
        <x:v>Fantastic Voyage as a shooter: fly through a human body over SGI-rendered video that looked like the future and played like a slideshow.</x:v>
      </x:c>
      <x:c r="AB86" s="9" t="str">
        <x:v>None known</x:v>
      </x:c>
      <x:c r="AC86" s="9" t="str">
        <x:v>Pre-rendered Cinepak-style video in a sub-full-screen window, around 12–15 fps; big step up from Sega CD</x:v>
      </x:c>
      <x:c r="AD86" s="9" t="str">
        <x:v>Hard and frustrating; Next Generation called it 'never challenging, only frustrating'</x:v>
      </x:c>
      <x:c r="AE86" s="9" t="str">
        <x:v>Single linear ending</x:v>
      </x:c>
      <x:c r="AF86" s="9" t="str">
        <x:v>Computer Gaming World named its backstory the worst of all time in 1996. First of a loose Psygnosis trilogy with Novastorm (Scavenger 4) and the Japan-only MegaMorph.</x:v>
      </x:c>
      <x:c r="AG86" s="9" t="str">
        <x:v>NA Psygnosis long box; Japanese T&amp;E Soft release</x:v>
      </x:c>
      <x:c r="AH86" s="9" t="str">
        <x:v>No</x:v>
      </x:c>
      <x:c r="AI86" s="9" t="str">
        <x:v>Easy</x:v>
      </x:c>
      <x:c r="AJ86" s="9"/>
      <x:c r="AK86" s="9" t="str">
        <x:v>3DO NA Mar 14, 1994; JP Jul 9, 1994; no PAL 3DO release per Wikipedia list. EGM 4/10 unanimous.</x:v>
      </x:c>
      <x:c r="AL86" s="10" t="n">
        <x:v>23.74</x:v>
      </x:c>
      <x:c r="AM86" s="10" t="n">
        <x:v>75</x:v>
      </x:c>
      <x:c r="AN86" s="10" t="n">
        <x:v>91</x:v>
      </x:c>
      <x:c r="AO86" s="9" t="str">
        <x:v>2026-10-20</x:v>
      </x:c>
      <x:c r="AP86" s="11" t="str">
        <x:f>HYPERLINK("https://www.pricecharting.com/search-products?q=Microcosm+3do&amp;type=prices","PriceCharting")</x:f>
        <x:v>PriceCharting</x:v>
      </x:c>
      <x:c r="AQ86" s="9"/>
      <x:c r="AR86" s="9"/>
      <x:c r="AS86" s="9"/>
      <x:c r="AT86" s="9"/>
      <x:c r="AU86" s="9"/>
      <x:c r="AV86" s="9"/>
      <x:c r="AW86" s="9"/>
      <x:c r="AX86" s="9"/>
      <x:c r="AY86" s="9" t="str">
        <x:v>63%</x:v>
      </x:c>
      <x:c r="AZ86" s="9" t="str">
        <x:v>2.4</x:v>
      </x:c>
      <x:c r="BA86" s="11" t="str">
        <x:f>HYPERLINK("https://www.mobygames.com/game/microcosm","MobyGames")</x:f>
        <x:v>MobyGames</x:v>
      </x:c>
      <x:c r="BB86" s="9"/>
      <x:c r="BC86" s="9"/>
      <x:c r="BD86" s="9"/>
      <x:c r="BE86" s="11" t="str">
        <x:f>HYPERLINK("https://en.wikipedia.org/wiki/Microcosm_(video_game)","Wikipedia")</x:f>
        <x:v>Wikipedia</x:v>
      </x:c>
      <x:c r="BF86" s="11" t="str">
        <x:f>HYPERLINK("https://backloggd.com/search/games/Microcosm/","Backloggd")</x:f>
        <x:v>Backloggd</x:v>
      </x:c>
      <x:c r="BG86" s="9"/>
      <x:c r="BH86" s="9"/>
      <x:c r="BI86" s="12" t="str">
        <x:v>No</x:v>
      </x:c>
      <x:c r="BJ86" s="12" t="str"/>
      <x:c r="BK86" s="12" t="str">
        <x:v>No</x:v>
      </x:c>
      <x:c r="BL86" s="12" t="str"/>
      <x:c r="BM86" s="12" t="str"/>
      <x:c r="BN86" s="12" t="str"/>
      <x:c r="BO86" s="12" t="str"/>
      <x:c r="BP86" s="12" t="str"/>
      <x:c r="BQ86" s="12" t="str"/>
    </x:row>
    <x:row r="87">
      <x:c r="A87" s="9" t="str">
        <x:v>3do-19</x:v>
      </x:c>
      <x:c r="B87" s="9" t="str">
        <x:v>novastorm</x:v>
      </x:c>
      <x:c r="C87" s="9" t="str">
        <x:v>3DO</x:v>
      </x:c>
      <x:c r="D87" s="9" t="str">
        <x:v>Novastorm</x:v>
      </x:c>
      <x:c r="E87" s="9" t="str">
        <x:v>Scavenger 4 (JP)</x:v>
      </x:c>
      <x:c r="F87" s="9" t="str">
        <x:v>Psygnosis</x:v>
      </x:c>
      <x:c r="G87" s="9" t="str">
        <x:v>Psygnosis (NA), T&amp;E Soft (JP)</x:v>
      </x:c>
      <x:c r="H87" s="9" t="n">
        <x:v>1994</x:v>
      </x:c>
      <x:c r="I87" s="9" t="str">
        <x:v>Yes</x:v>
      </x:c>
      <x:c r="J87" s="9" t="str">
        <x:v>Yes</x:v>
      </x:c>
      <x:c r="K87" s="9" t="str">
        <x:v>No</x:v>
      </x:c>
      <x:c r="L87" s="9" t="str">
        <x:v>No</x:v>
      </x:c>
      <x:c r="M87" s="9" t="str">
        <x:v>Rail shooter</x:v>
      </x:c>
      <x:c r="N87" s="9" t="str">
        <x:v>Pre-rendered CG</x:v>
      </x:c>
      <x:c r="O87" s="9" t="n">
        <x:v>9</x:v>
      </x:c>
      <x:c r="P87" s="9" t="str">
        <x:v>Pre-rendered CG</x:v>
      </x:c>
      <x:c r="Q87" s="9" t="str">
        <x:v>Released</x:v>
      </x:c>
      <x:c r="R87" s="9" t="str">
        <x:v>Original production (FM Towns original as Scavenger 4)</x:v>
      </x:c>
      <x:c r="S87" s="9" t="str">
        <x:v>FM Towns, Sega CD, MS-DOS, PlayStation</x:v>
      </x:c>
      <x:c r="T87" s="9" t="str">
        <x:v>—</x:v>
      </x:c>
      <x:c r="U87" s="9" t="n">
        <x:v>1</x:v>
      </x:c>
      <x:c r="V87" s="9" t="str">
        <x:v>No (passwords)</x:v>
      </x:c>
      <x:c r="W87" s="9" t="str">
        <x:v>Standard 3DO controller</x:v>
      </x:c>
      <x:c r="X87" s="9" t="str">
        <x:v>Low</x:v>
      </x:c>
      <x:c r="Y87" s="9" t="str"/>
      <x:c r="Z87" s="9" t="str">
        <x:v>1–2 hr</x:v>
      </x:c>
      <x:c r="AA87" s="9" t="str">
        <x:v>Psygnosis' second pre-rendered rail shooter, gorgeous and hollow, with a 3DO Shooter of the Year award to its name.</x:v>
      </x:c>
      <x:c r="AB87" s="9" t="str">
        <x:v>DOS 'TOMATOES' code; 3DO codes unverified — None known</x:v>
      </x:c>
      <x:c r="AC87" s="9" t="str">
        <x:v>Windowed pre-rendered video (only PlayStation got full screen), roughly 15 fps</x:v>
      </x:c>
      <x:c r="AD87" s="9" t="str">
        <x:v>Easy; GamePro found it lacking intensity</x:v>
      </x:c>
      <x:c r="AE87" s="9" t="str">
        <x:v>Single linear ending</x:v>
      </x:c>
      <x:c r="AF87" s="9" t="str">
        <x:v>Won GameFan's 1994 Best 3DO Shooter award. Obstacles in the pre-rendered backdrop can actually damage the ship, unlike most video-backdrop shooters.</x:v>
      </x:c>
      <x:c r="AG87" s="9" t="str">
        <x:v>NA Psygnosis release; Japanese T&amp;E Soft release as Scavenger 4</x:v>
      </x:c>
      <x:c r="AH87" s="9" t="str">
        <x:v>No</x:v>
      </x:c>
      <x:c r="AI87" s="9" t="str">
        <x:v>Easy</x:v>
      </x:c>
      <x:c r="AJ87" s="9"/>
      <x:c r="AK87" s="9" t="str">
        <x:v>3DO JP Oct 7, 1994; NA Dec 15, 1994; no PAL 3DO. EGM 5/10, Next Generation 1/5.</x:v>
      </x:c>
      <x:c r="AL87" s="10" t="n">
        <x:v>25.99</x:v>
      </x:c>
      <x:c r="AM87" s="10" t="n">
        <x:v>49.89</x:v>
      </x:c>
      <x:c r="AN87" s="10" t="n">
        <x:v>99.78</x:v>
      </x:c>
      <x:c r="AO87" s="9" t="str">
        <x:v>2026-10-20</x:v>
      </x:c>
      <x:c r="AP87" s="11" t="str">
        <x:f>HYPERLINK("https://www.pricecharting.com/search-products?q=Novastorm+3do&amp;type=prices","PriceCharting")</x:f>
        <x:v>PriceCharting</x:v>
      </x:c>
      <x:c r="AQ87" s="9"/>
      <x:c r="AR87" s="9"/>
      <x:c r="AS87" s="9"/>
      <x:c r="AT87" s="9"/>
      <x:c r="AU87" s="9"/>
      <x:c r="AV87" s="9"/>
      <x:c r="AW87" s="9"/>
      <x:c r="AX87" s="9"/>
      <x:c r="AY87" s="9" t="str">
        <x:v>67%</x:v>
      </x:c>
      <x:c r="AZ87" s="9" t="str">
        <x:v>3.2</x:v>
      </x:c>
      <x:c r="BA87" s="11" t="str">
        <x:f>HYPERLINK("https://www.mobygames.com/game/271/novastorm/","MobyGames")</x:f>
        <x:v>MobyGames</x:v>
      </x:c>
      <x:c r="BB87" s="9"/>
      <x:c r="BC87" s="9"/>
      <x:c r="BD87" s="9"/>
      <x:c r="BE87" s="11" t="str">
        <x:f>HYPERLINK("https://en.wikipedia.org/wiki/Novastorm","Wikipedia")</x:f>
        <x:v>Wikipedia</x:v>
      </x:c>
      <x:c r="BF87" s="11" t="str">
        <x:f>HYPERLINK("https://backloggd.com/search/games/Novastorm/","Backloggd")</x:f>
        <x:v>Backloggd</x:v>
      </x:c>
      <x:c r="BG87" s="9"/>
      <x:c r="BH87" s="9"/>
      <x:c r="BI87" s="12" t="str">
        <x:v>No</x:v>
      </x:c>
      <x:c r="BJ87" s="12" t="str"/>
      <x:c r="BK87" s="12" t="str">
        <x:v>No</x:v>
      </x:c>
      <x:c r="BL87" s="12" t="str"/>
      <x:c r="BM87" s="12" t="str"/>
      <x:c r="BN87" s="12" t="str"/>
      <x:c r="BO87" s="12" t="str"/>
      <x:c r="BP87" s="12" t="str"/>
      <x:c r="BQ87" s="12" t="str"/>
    </x:row>
    <x:row r="88">
      <x:c r="A88" s="9" t="str">
        <x:v>3do-20</x:v>
      </x:c>
      <x:c r="B88" s="9" t="str">
        <x:v>megarace</x:v>
      </x:c>
      <x:c r="C88" s="9" t="str">
        <x:v>3DO</x:v>
      </x:c>
      <x:c r="D88" s="9" t="str">
        <x:v>MegaRace</x:v>
      </x:c>
      <x:c r="E88" s="9" t="str"/>
      <x:c r="F88" s="9" t="str">
        <x:v>Cryo Interactive</x:v>
      </x:c>
      <x:c r="G88" s="9" t="str">
        <x:v>Mindscape / The Software Toolworks (NA, EU), Multisoft (JP)</x:v>
      </x:c>
      <x:c r="H88" s="9" t="n">
        <x:v>1994</x:v>
      </x:c>
      <x:c r="I88" s="9" t="str">
        <x:v>Yes</x:v>
      </x:c>
      <x:c r="J88" s="9" t="str">
        <x:v>Yes</x:v>
      </x:c>
      <x:c r="K88" s="9" t="str">
        <x:v>Yes</x:v>
      </x:c>
      <x:c r="L88" s="9" t="str">
        <x:v>No</x:v>
      </x:c>
      <x:c r="M88" s="9" t="str">
        <x:v>Combat racing</x:v>
      </x:c>
      <x:c r="N88" s="9" t="str">
        <x:v>Live-action + pre-rendered CG</x:v>
      </x:c>
      <x:c r="O88" s="9" t="n">
        <x:v>6</x:v>
      </x:c>
      <x:c r="P88" s="9" t="str">
        <x:v>Pre-rendered CG</x:v>
      </x:c>
      <x:c r="Q88" s="9" t="str">
        <x:v>Released</x:v>
      </x:c>
      <x:c r="R88" s="9" t="str">
        <x:v>PC original (MS-DOS, 1993)</x:v>
      </x:c>
      <x:c r="S88" s="9" t="str">
        <x:v>MS-DOS, Sega CD, Windows (re-release)</x:v>
      </x:c>
      <x:c r="T88" s="9" t="str">
        <x:v>Christian Erickson as host Lance Boyle</x:v>
      </x:c>
      <x:c r="U88" s="9" t="n">
        <x:v>1</x:v>
      </x:c>
      <x:c r="V88" s="9" t="str">
        <x:v>No (passwords)</x:v>
      </x:c>
      <x:c r="W88" s="9" t="str">
        <x:v>Standard 3DO controller</x:v>
      </x:c>
      <x:c r="X88" s="9" t="str">
        <x:v>Low</x:v>
      </x:c>
      <x:c r="Y88" s="9" t="str"/>
      <x:c r="Z88" s="9" t="str">
        <x:v>2–3 hr</x:v>
      </x:c>
      <x:c r="AA88" s="9" t="str">
        <x:v>Sleazy game-show host Lance Boyle mocks you between races on pre-rendered tracks — the most quotable FMV ham of the era.</x:v>
      </x:c>
      <x:c r="AB88" s="9" t="str">
        <x:v>None known for 3DO (verify)</x:v>
      </x:c>
      <x:c r="AC88" s="9" t="str">
        <x:v>Pre-rendered track video with sprite cars, near full screen; Lance Boyle live-action segments ~20 min total</x:v>
      </x:c>
      <x:c r="AD88" s="9" t="str">
        <x:v>Controls difficult; later tracks demanding</x:v>
      </x:c>
      <x:c r="AE88" s="9" t="str">
        <x:v>Single ending after all tracks</x:v>
      </x:c>
      <x:c r="AF88" s="9" t="str">
        <x:v>Over twenty minutes of Lance Boyle footage. An Amiga CD32 version was announced but never released.</x:v>
      </x:c>
      <x:c r="AG88" s="9" t="str">
        <x:v>NA Mindscape long box; PAL release; Japanese Multisoft release</x:v>
      </x:c>
      <x:c r="AH88" s="9" t="str">
        <x:v>No (3DO); PC version on GOG since 2009</x:v>
      </x:c>
      <x:c r="AI88" s="9" t="str">
        <x:v>Easy</x:v>
      </x:c>
      <x:c r="AJ88" s="9"/>
      <x:c r="AK88" s="9" t="str">
        <x:v>3DO NA May 1994; JP Oct 7, 1994; PAL 1994. Next Generation 4/5 for 3DO.</x:v>
      </x:c>
      <x:c r="AL88" s="10" t="n">
        <x:v>30</x:v>
      </x:c>
      <x:c r="AM88" s="10" t="n">
        <x:v>102.6</x:v>
      </x:c>
      <x:c r="AN88" s="10" t="n">
        <x:v>205</x:v>
      </x:c>
      <x:c r="AO88" s="9" t="str">
        <x:v>2026-10-20</x:v>
      </x:c>
      <x:c r="AP88" s="11" t="str">
        <x:f>HYPERLINK("https://www.pricecharting.com/search-products?q=MegaRace+3do&amp;type=prices","PriceCharting")</x:f>
        <x:v>PriceCharting</x:v>
      </x:c>
      <x:c r="AQ88" s="9"/>
      <x:c r="AR88" s="9"/>
      <x:c r="AS88" s="9"/>
      <x:c r="AT88" s="9"/>
      <x:c r="AU88" s="9"/>
      <x:c r="AV88" s="9"/>
      <x:c r="AW88" s="9"/>
      <x:c r="AX88" s="9"/>
      <x:c r="AY88" s="9" t="str">
        <x:v>63%</x:v>
      </x:c>
      <x:c r="AZ88" s="9" t="str">
        <x:v>3.6</x:v>
      </x:c>
      <x:c r="BA88" s="11" t="str">
        <x:f>HYPERLINK("https://www.mobygames.com/game/megarace","MobyGames")</x:f>
        <x:v>MobyGames</x:v>
      </x:c>
      <x:c r="BB88" s="9"/>
      <x:c r="BC88" s="9"/>
      <x:c r="BD88" s="9"/>
      <x:c r="BE88" s="11" t="str">
        <x:f>HYPERLINK("https://en.wikipedia.org/wiki/MegaRace","Wikipedia")</x:f>
        <x:v>Wikipedia</x:v>
      </x:c>
      <x:c r="BF88" s="11" t="str">
        <x:f>HYPERLINK("https://backloggd.com/search/games/MegaRace/","Backloggd")</x:f>
        <x:v>Backloggd</x:v>
      </x:c>
      <x:c r="BG88" s="9"/>
      <x:c r="BH88" s="9"/>
      <x:c r="BI88" s="12" t="str">
        <x:v>No</x:v>
      </x:c>
      <x:c r="BJ88" s="12" t="str"/>
      <x:c r="BK88" s="12" t="str">
        <x:v>No</x:v>
      </x:c>
      <x:c r="BL88" s="12" t="str"/>
      <x:c r="BM88" s="12" t="str"/>
      <x:c r="BN88" s="12" t="str"/>
      <x:c r="BO88" s="12" t="str"/>
      <x:c r="BP88" s="12" t="str"/>
      <x:c r="BQ88" s="12" t="str"/>
    </x:row>
    <x:row r="89">
      <x:c r="A89" s="9" t="str">
        <x:v>3do-21</x:v>
      </x:c>
      <x:c r="B89" s="9" t="str">
        <x:v>d</x:v>
      </x:c>
      <x:c r="C89" s="9" t="str">
        <x:v>3DO</x:v>
      </x:c>
      <x:c r="D89" s="9" t="str">
        <x:v>D</x:v>
      </x:c>
      <x:c r="E89" s="9" t="str">
        <x:v>D no Shokutaku (JP); D's Diner: Director's Cut (JP re-release)</x:v>
      </x:c>
      <x:c r="F89" s="9" t="str">
        <x:v>Warp</x:v>
      </x:c>
      <x:c r="G89" s="9" t="str">
        <x:v>Panasonic (NA), San-ei Shobo (JP)</x:v>
      </x:c>
      <x:c r="H89" s="9" t="n">
        <x:v>1995</x:v>
      </x:c>
      <x:c r="I89" s="9" t="str">
        <x:v>Yes</x:v>
      </x:c>
      <x:c r="J89" s="9" t="str">
        <x:v>Yes</x:v>
      </x:c>
      <x:c r="K89" s="9" t="str">
        <x:v>Yes</x:v>
      </x:c>
      <x:c r="L89" s="9" t="str">
        <x:v>No</x:v>
      </x:c>
      <x:c r="M89" s="9" t="str">
        <x:v>Horror adventure</x:v>
      </x:c>
      <x:c r="N89" s="9" t="str">
        <x:v>Pre-rendered CG</x:v>
      </x:c>
      <x:c r="O89" s="9" t="n">
        <x:v>8</x:v>
      </x:c>
      <x:c r="P89" s="9" t="str">
        <x:v>Interactive movie</x:v>
      </x:c>
      <x:c r="Q89" s="9" t="str">
        <x:v>Released</x:v>
      </x:c>
      <x:c r="R89" s="9" t="str">
        <x:v>Original production (3DO original, ported elsewhere)</x:v>
      </x:c>
      <x:c r="S89" s="9" t="str">
        <x:v>Sega Saturn, PlayStation, MS-DOS/Windows</x:v>
      </x:c>
      <x:c r="T89" s="9" t="str">
        <x:v>Kenji Eno (director); 'digital actress' Laura; Japanese voice cast</x:v>
      </x:c>
      <x:c r="U89" s="9" t="n">
        <x:v>2</x:v>
      </x:c>
      <x:c r="V89" s="9" t="str">
        <x:v>No</x:v>
      </x:c>
      <x:c r="W89" s="9" t="str">
        <x:v>Standard 3DO controller</x:v>
      </x:c>
      <x:c r="X89" s="9" t="str">
        <x:v>Low</x:v>
      </x:c>
      <x:c r="Y89" s="9" t="str"/>
      <x:c r="Z89" s="9" t="str">
        <x:v>2 hr (real-time limit)</x:v>
      </x:c>
      <x:c r="AA89" s="9" t="str">
        <x:v>Kenji Eno smuggled cannibalism past the censors by swapping master discs on the plane — and the 3DO got a genuine Japanese hit.</x:v>
      </x:c>
      <x:c r="AB89" s="9" t="str">
        <x:v>None known</x:v>
      </x:c>
      <x:c r="AC89" s="9" t="str">
        <x:v>Full-screen pre-rendered Amiga 4000 CG video, roughly 15 fps; among the best-looking 3DO FMV</x:v>
      </x:c>
      <x:c r="AD89" s="9" t="str">
        <x:v>Moderate; strict two-hour real-time limit with no pause or save</x:v>
      </x:c>
      <x:c r="AE89" s="9" t="str">
        <x:v>Multiple endings depending on actions (e.g. shooting Laura's father vs. approaching him)</x:v>
      </x:c>
      <x:c r="AF89" s="9" t="str">
        <x:v>Eno submitted a clean version for approval then swapped in violent masters en route to the US manufacturer. D's Diner Director's Cut (JP, Jan 1996) added content and a soundtrack disc.</x:v>
      </x:c>
      <x:c r="AG89" s="9" t="str">
        <x:v>JP original (San-ei Shobo), JP Director's Cut 3-disc set with soundtrack, NA Panasonic release, PAL release</x:v>
      </x:c>
      <x:c r="AH89" s="9" t="str">
        <x:v>No (3DO); DOS version on Steam/GOG via Nightdive (2016)</x:v>
      </x:c>
      <x:c r="AI89" s="9" t="str">
        <x:v>Easy</x:v>
      </x:c>
      <x:c r="AJ89" s="9"/>
      <x:c r="AK89" s="9" t="str">
        <x:v>JP Apr 1, 1995 (San-Ei Shobo); NA 1995 (Panasonic). Wikipedia's game infobox lists no PAL 3DO release, though the 3DO list gives PAL 1995. GameFan 1995 3DO Game of the Year.</x:v>
      </x:c>
      <x:c r="AL89" s="10" t="n">
        <x:v>28.69</x:v>
      </x:c>
      <x:c r="AM89" s="10" t="n">
        <x:v>52.37</x:v>
      </x:c>
      <x:c r="AN89" s="10" t="n">
        <x:v>105</x:v>
      </x:c>
      <x:c r="AO89" s="9" t="str">
        <x:v>2026-10-20</x:v>
      </x:c>
      <x:c r="AP89" s="11" t="str">
        <x:f>HYPERLINK("https://www.pricecharting.com/search-products?q=D+3do&amp;type=prices","PriceCharting")</x:f>
        <x:v>PriceCharting</x:v>
      </x:c>
      <x:c r="AQ89" s="9"/>
      <x:c r="AR89" s="9"/>
      <x:c r="AS89" s="9"/>
      <x:c r="AT89" s="9"/>
      <x:c r="AU89" s="9"/>
      <x:c r="AV89" s="9"/>
      <x:c r="AW89" s="9"/>
      <x:c r="AX89" s="9"/>
      <x:c r="AY89" s="9" t="str">
        <x:v>74%</x:v>
      </x:c>
      <x:c r="AZ89" s="9" t="str">
        <x:v>4.0</x:v>
      </x:c>
      <x:c r="BA89" s="11" t="str">
        <x:f>HYPERLINK("https://www.mobygames.com/game/772/d/","MobyGames")</x:f>
        <x:v>MobyGames</x:v>
      </x:c>
      <x:c r="BB89" s="9"/>
      <x:c r="BC89" s="9"/>
      <x:c r="BD89" s="9"/>
      <x:c r="BE89" s="11" t="str">
        <x:f>HYPERLINK("https://en.wikipedia.org/wiki/D_(video_game)","Wikipedia")</x:f>
        <x:v>Wikipedia</x:v>
      </x:c>
      <x:c r="BF89" s="11" t="str">
        <x:f>HYPERLINK("https://backloggd.com/search/games/D/","Backloggd")</x:f>
        <x:v>Backloggd</x:v>
      </x:c>
      <x:c r="BG89" s="9"/>
      <x:c r="BH89" s="9"/>
      <x:c r="BI89" s="12" t="str">
        <x:v>No</x:v>
      </x:c>
      <x:c r="BJ89" s="12" t="str"/>
      <x:c r="BK89" s="12" t="str">
        <x:v>No</x:v>
      </x:c>
      <x:c r="BL89" s="12" t="str"/>
      <x:c r="BM89" s="12" t="str"/>
      <x:c r="BN89" s="12" t="str"/>
      <x:c r="BO89" s="12" t="str"/>
      <x:c r="BP89" s="12" t="str"/>
      <x:c r="BQ89" s="12" t="str"/>
    </x:row>
    <x:row r="90">
      <x:c r="A90" s="9" t="str">
        <x:v>3do-22</x:v>
      </x:c>
      <x:c r="B90" s="9" t="str">
        <x:v>creature-shock</x:v>
      </x:c>
      <x:c r="C90" s="9" t="str">
        <x:v>3DO</x:v>
      </x:c>
      <x:c r="D90" s="9" t="str">
        <x:v>Creature Shock</x:v>
      </x:c>
      <x:c r="E90" s="9" t="str"/>
      <x:c r="F90" s="9" t="str">
        <x:v>Argonaut Software</x:v>
      </x:c>
      <x:c r="G90" s="9" t="str">
        <x:v>Virgin Interactive</x:v>
      </x:c>
      <x:c r="H90" s="9" t="n">
        <x:v>1996</x:v>
      </x:c>
      <x:c r="I90" s="9" t="str">
        <x:v>Yes</x:v>
      </x:c>
      <x:c r="J90" s="9" t="str">
        <x:v>No</x:v>
      </x:c>
      <x:c r="K90" s="9" t="str">
        <x:v>No</x:v>
      </x:c>
      <x:c r="L90" s="9" t="str">
        <x:v>No</x:v>
      </x:c>
      <x:c r="M90" s="9" t="str">
        <x:v>Rail shooter / FMV exploration</x:v>
      </x:c>
      <x:c r="N90" s="9" t="str">
        <x:v>Pre-rendered CG</x:v>
      </x:c>
      <x:c r="O90" s="9" t="n">
        <x:v>9</x:v>
      </x:c>
      <x:c r="P90" s="9" t="str">
        <x:v>Pre-rendered CG</x:v>
      </x:c>
      <x:c r="Q90" s="9" t="str">
        <x:v>Released</x:v>
      </x:c>
      <x:c r="R90" s="9" t="str">
        <x:v>PC original (MS-DOS, Dec 1994)</x:v>
      </x:c>
      <x:c r="S90" s="9" t="str">
        <x:v>MS-DOS, Sega Saturn, PlayStation, CD-i</x:v>
      </x:c>
      <x:c r="T90" s="9" t="str">
        <x:v>—</x:v>
      </x:c>
      <x:c r="U90" s="9" t="n">
        <x:v>2</x:v>
      </x:c>
      <x:c r="V90" s="9" t="str">
        <x:v>No (passwords)</x:v>
      </x:c>
      <x:c r="W90" s="9" t="str">
        <x:v>Standard 3DO controller</x:v>
      </x:c>
      <x:c r="X90" s="9" t="str">
        <x:v>Low</x:v>
      </x:c>
      <x:c r="Y90" s="9" t="str"/>
      <x:c r="Z90" s="9" t="str">
        <x:v>2–3 hr</x:v>
      </x:c>
      <x:c r="AA90" s="9" t="str">
        <x:v>Argonaut's gigabyte-sized pre-rendered alien hunt arrived on 3DO late, slow and ugly-mean — a perfect 'too late' story.</x:v>
      </x:c>
      <x:c r="AB90" s="9" t="str">
        <x:v>Saturn/PS level-skip codes exist; 3DO codes unverified — None known</x:v>
      </x:c>
      <x:c r="AC90" s="9" t="str">
        <x:v>Pre-rendered video, three FMV exploration levels and two rail-shooter levels; slow cursor, modest frame rate</x:v>
      </x:c>
      <x:c r="AD90" s="9" t="str">
        <x:v>Hard; single weapon and sluggish cursor</x:v>
      </x:c>
      <x:c r="AE90" s="9" t="str">
        <x:v>Single ending</x:v>
      </x:c>
      <x:c r="AF90" s="9" t="str">
        <x:v>A Jaguar CD port was shown at E3 1995 and cancelled after a poor reception. The full game exceeded a gigabyte across two discs.</x:v>
      </x:c>
      <x:c r="AG90" s="9" t="str">
        <x:v>NA Virgin release only</x:v>
      </x:c>
      <x:c r="AH90" s="9" t="str">
        <x:v>No</x:v>
      </x:c>
      <x:c r="AI90" s="9" t="str">
        <x:v>Easy</x:v>
      </x:c>
      <x:c r="AJ90" s="9"/>
      <x:c r="AK90" s="9" t="str">
        <x:v>3DO NA Mar 19, 1996; no JP/PAL 3DO per Wikipedia list. GamePro negative on 3DO.</x:v>
      </x:c>
      <x:c r="AL90" s="10" t="n">
        <x:v>32.22</x:v>
      </x:c>
      <x:c r="AM90" s="10" t="n">
        <x:v>75.21</x:v>
      </x:c>
      <x:c r="AN90" s="10" t="n">
        <x:v>150</x:v>
      </x:c>
      <x:c r="AO90" s="9" t="str">
        <x:v>2026-10-20</x:v>
      </x:c>
      <x:c r="AP90" s="11" t="str">
        <x:f>HYPERLINK("https://www.pricecharting.com/search-products?q=Creature+Shock+3do&amp;type=prices","PriceCharting")</x:f>
        <x:v>PriceCharting</x:v>
      </x:c>
      <x:c r="AQ90" s="9"/>
      <x:c r="AR90" s="9"/>
      <x:c r="AS90" s="9"/>
      <x:c r="AT90" s="9"/>
      <x:c r="AU90" s="9"/>
      <x:c r="AV90" s="9"/>
      <x:c r="AW90" s="9"/>
      <x:c r="AX90" s="9"/>
      <x:c r="AY90" s="9"/>
      <x:c r="AZ90" s="9"/>
      <x:c r="BA90" s="11" t="str">
        <x:f>HYPERLINK("https://www.mobygames.com/game/creature-shock","MobyGames")</x:f>
        <x:v>MobyGames</x:v>
      </x:c>
      <x:c r="BB90" s="9"/>
      <x:c r="BC90" s="9"/>
      <x:c r="BD90" s="9"/>
      <x:c r="BE90" s="11" t="str">
        <x:f>HYPERLINK("https://en.wikipedia.org/wiki/Creature_Shock","Wikipedia")</x:f>
        <x:v>Wikipedia</x:v>
      </x:c>
      <x:c r="BF90" s="11" t="str">
        <x:f>HYPERLINK("https://backloggd.com/search/games/Creature%20Shock/","Backloggd")</x:f>
        <x:v>Backloggd</x:v>
      </x:c>
      <x:c r="BG90" s="9"/>
      <x:c r="BH90" s="9"/>
      <x:c r="BI90" s="12" t="str">
        <x:v>No</x:v>
      </x:c>
      <x:c r="BJ90" s="12" t="str"/>
      <x:c r="BK90" s="12" t="str">
        <x:v>No</x:v>
      </x:c>
      <x:c r="BL90" s="12" t="str"/>
      <x:c r="BM90" s="12" t="str"/>
      <x:c r="BN90" s="12" t="str"/>
      <x:c r="BO90" s="12" t="str"/>
      <x:c r="BP90" s="12" t="str"/>
      <x:c r="BQ90" s="12" t="str"/>
    </x:row>
    <x:row r="91">
      <x:c r="A91" s="9" t="str">
        <x:v>3do-23</x:v>
      </x:c>
      <x:c r="B91" s="9" t="str">
        <x:v>cyberia</x:v>
      </x:c>
      <x:c r="C91" s="9" t="str">
        <x:v>3DO</x:v>
      </x:c>
      <x:c r="D91" s="9" t="str">
        <x:v>Cyberia</x:v>
      </x:c>
      <x:c r="E91" s="9" t="str"/>
      <x:c r="F91" s="9" t="str">
        <x:v>Xatrix Entertainment</x:v>
      </x:c>
      <x:c r="G91" s="9" t="str">
        <x:v>Interplay (NA, EU), Electronic Arts Victor (JP)</x:v>
      </x:c>
      <x:c r="H91" s="9" t="n">
        <x:v>1994</x:v>
      </x:c>
      <x:c r="I91" s="9" t="str">
        <x:v>Yes</x:v>
      </x:c>
      <x:c r="J91" s="9" t="str">
        <x:v>Yes</x:v>
      </x:c>
      <x:c r="K91" s="9" t="str">
        <x:v>Yes</x:v>
      </x:c>
      <x:c r="L91" s="9" t="str">
        <x:v>No</x:v>
      </x:c>
      <x:c r="M91" s="9" t="str">
        <x:v>Action-adventure / rail shooter</x:v>
      </x:c>
      <x:c r="N91" s="9" t="str">
        <x:v>Pre-rendered CG</x:v>
      </x:c>
      <x:c r="O91" s="9" t="n">
        <x:v>7</x:v>
      </x:c>
      <x:c r="P91" s="9" t="str">
        <x:v>Pre-rendered CG</x:v>
      </x:c>
      <x:c r="Q91" s="9" t="str">
        <x:v>Released</x:v>
      </x:c>
      <x:c r="R91" s="9" t="str">
        <x:v>PC original (MS-DOS, 1994)</x:v>
      </x:c>
      <x:c r="S91" s="9" t="str">
        <x:v>MS-DOS, Mac, Windows, Sega Saturn, PlayStation, FM Towns, PC-98, Linux</x:v>
      </x:c>
      <x:c r="T91" s="9" t="str">
        <x:v>—</x:v>
      </x:c>
      <x:c r="U91" s="9" t="n">
        <x:v>1</x:v>
      </x:c>
      <x:c r="V91" s="9" t="str">
        <x:v>Yes</x:v>
      </x:c>
      <x:c r="W91" s="9" t="str">
        <x:v>Standard controller and 3DO FlightStick</x:v>
      </x:c>
      <x:c r="X91" s="9" t="str">
        <x:v>Low</x:v>
      </x:c>
      <x:c r="Y91" s="9" t="str"/>
      <x:c r="Z91" s="9" t="str">
        <x:v>3–4 hr</x:v>
      </x:c>
      <x:c r="AA91" s="9" t="str">
        <x:v>Motion-captured pre-rendered cyberpunk with one-shot deaths every thirty seconds — the Dragon's Lair of the 3D era.</x:v>
      </x:c>
      <x:c r="AB91" s="9" t="str">
        <x:v>No 3DO codes listed (the PlayStation version has passwords). The 3DO Flightstick Pro works in the arcade sequences although the game never says so. (GameFAQs)</x:v>
      </x:c>
      <x:c r="AC91" s="9" t="str">
        <x:v>Pre-rendered gameplay and cutscenes near full screen; Next Generation said all four console/PC versions were 'exactly' alike</x:v>
      </x:c>
      <x:c r="AD91" s="9" t="str">
        <x:v>Hard; trial-and-error instant deaths</x:v>
      </x:c>
      <x:c r="AE91" s="9" t="str">
        <x:v>Single ending</x:v>
      </x:c>
      <x:c r="AF91" s="9" t="str">
        <x:v>Reportedly one of the first pre-rendered games to use motion capture. An OEM cut, Cyberia: Mission Norway, shipped with sound cards.</x:v>
      </x:c>
      <x:c r="AG91" s="9" t="str">
        <x:v>PAL Interplay release (1994/95), NA Interplay release (1996), Japanese EA Victor release (1996)</x:v>
      </x:c>
      <x:c r="AH91" s="9" t="str">
        <x:v>No (3DO); PC version on GOG/Steam</x:v>
      </x:c>
      <x:c r="AI91" s="9" t="str">
        <x:v>Easy</x:v>
      </x:c>
      <x:c r="AJ91" s="9"/>
      <x:c r="AK91" s="9" t="str">
        <x:v>Wikipedia list gives PAL Nov 1, 1994, NA Feb 12, 1996, JP Jan 26, 1996 — PAL-first date flagged 'citation needed'; verify.</x:v>
      </x:c>
      <x:c r="AL91" s="10" t="n">
        <x:v>25.86</x:v>
      </x:c>
      <x:c r="AM91" s="10" t="n">
        <x:v>49.53</x:v>
      </x:c>
      <x:c r="AN91" s="10" t="n">
        <x:v>95.98</x:v>
      </x:c>
      <x:c r="AO91" s="9" t="str">
        <x:v>2026-10-20</x:v>
      </x:c>
      <x:c r="AP91" s="11" t="str">
        <x:f>HYPERLINK("https://www.pricecharting.com/search-products?q=Cyberia+3do&amp;type=prices","PriceCharting")</x:f>
        <x:v>PriceCharting</x:v>
      </x:c>
      <x:c r="AQ91" s="9"/>
      <x:c r="AR91" s="9"/>
      <x:c r="AS91" s="9"/>
      <x:c r="AT91" s="9"/>
      <x:c r="AU91" s="9"/>
      <x:c r="AV91" s="9"/>
      <x:c r="AW91" s="9"/>
      <x:c r="AX91" s="9"/>
      <x:c r="AY91" s="9" t="str">
        <x:v>67%</x:v>
      </x:c>
      <x:c r="AZ91" s="9" t="str">
        <x:v>3.5</x:v>
      </x:c>
      <x:c r="BA91" s="11" t="str">
        <x:f>HYPERLINK("https://www.mobygames.com/game/cyberia","MobyGames")</x:f>
        <x:v>MobyGames</x:v>
      </x:c>
      <x:c r="BB91" s="9"/>
      <x:c r="BC91" s="9"/>
      <x:c r="BD91" s="9"/>
      <x:c r="BE91" s="11" t="str">
        <x:f>HYPERLINK("https://en.wikipedia.org/wiki/Cyberia_(video_game)","Wikipedia")</x:f>
        <x:v>Wikipedia</x:v>
      </x:c>
      <x:c r="BF91" s="11" t="str">
        <x:f>HYPERLINK("https://backloggd.com/search/games/Cyberia/","Backloggd")</x:f>
        <x:v>Backloggd</x:v>
      </x:c>
      <x:c r="BG91" s="9"/>
      <x:c r="BH91" s="9"/>
      <x:c r="BI91" s="12" t="str">
        <x:v>No</x:v>
      </x:c>
      <x:c r="BJ91" s="12" t="str"/>
      <x:c r="BK91" s="12" t="str">
        <x:v>No</x:v>
      </x:c>
      <x:c r="BL91" s="12" t="str"/>
      <x:c r="BM91" s="12" t="str"/>
      <x:c r="BN91" s="12" t="str"/>
      <x:c r="BO91" s="12" t="str"/>
      <x:c r="BP91" s="12" t="str"/>
      <x:c r="BQ91" s="12" t="str"/>
    </x:row>
    <x:row r="92">
      <x:c r="A92" s="9" t="str">
        <x:v>3do-24</x:v>
      </x:c>
      <x:c r="B92" s="9" t="str">
        <x:v>lost-eden</x:v>
      </x:c>
      <x:c r="C92" s="9" t="str">
        <x:v>3DO</x:v>
      </x:c>
      <x:c r="D92" s="9" t="str">
        <x:v>Lost Eden</x:v>
      </x:c>
      <x:c r="E92" s="9" t="str"/>
      <x:c r="F92" s="9" t="str">
        <x:v>Cryo Interactive</x:v>
      </x:c>
      <x:c r="G92" s="9" t="str">
        <x:v>Virgin Interactive</x:v>
      </x:c>
      <x:c r="H92" s="9" t="n">
        <x:v>1995</x:v>
      </x:c>
      <x:c r="I92" s="9" t="str">
        <x:v>Yes</x:v>
      </x:c>
      <x:c r="J92" s="9" t="str">
        <x:v>No</x:v>
      </x:c>
      <x:c r="K92" s="9" t="str">
        <x:v>No</x:v>
      </x:c>
      <x:c r="L92" s="9" t="str">
        <x:v>No</x:v>
      </x:c>
      <x:c r="M92" s="9" t="str">
        <x:v>Adventure</x:v>
      </x:c>
      <x:c r="N92" s="9" t="str">
        <x:v>Pre-rendered CG</x:v>
      </x:c>
      <x:c r="O92" s="9" t="n">
        <x:v>5</x:v>
      </x:c>
      <x:c r="P92" s="9" t="str">
        <x:v>FMV adventure</x:v>
      </x:c>
      <x:c r="Q92" s="9" t="str">
        <x:v>Released</x:v>
      </x:c>
      <x:c r="R92" s="9" t="str">
        <x:v>PC original (MS-DOS/Mac, 1995)</x:v>
      </x:c>
      <x:c r="S92" s="9" t="str">
        <x:v>MS-DOS, Mac, CD-i</x:v>
      </x:c>
      <x:c r="T92" s="9" t="str">
        <x:v>Stéphane Picq (composer)</x:v>
      </x:c>
      <x:c r="U92" s="9" t="n">
        <x:v>1</x:v>
      </x:c>
      <x:c r="V92" s="9" t="str">
        <x:v>Yes</x:v>
      </x:c>
      <x:c r="W92" s="9" t="str">
        <x:v>Standard 3DO controller</x:v>
      </x:c>
      <x:c r="X92" s="9" t="str">
        <x:v>Low</x:v>
      </x:c>
      <x:c r="Y92" s="9" t="str"/>
      <x:c r="Z92" s="9" t="str">
        <x:v>6–8 hr</x:v>
      </x:c>
      <x:c r="AA92" s="9" t="str">
        <x:v>Cryo's dinosaurs-and-humans fable with a cult Stéphane Picq soundtrack — one of the few 3DO adventures critics actually liked.</x:v>
      </x:c>
      <x:c r="AB92" s="9" t="str">
        <x:v>None known</x:v>
      </x:c>
      <x:c r="AC92" s="9" t="str">
        <x:v>Pre-rendered panning backgrounds and CG cutscenes, near full screen</x:v>
      </x:c>
      <x:c r="AD92" s="9" t="str">
        <x:v>Easy to moderate; dialogue-heavy</x:v>
      </x:c>
      <x:c r="AE92" s="9" t="str">
        <x:v>Single ending</x:v>
      </x:c>
      <x:c r="AF92" s="9" t="str">
        <x:v>Written with Steve Jackson (Fighting Fantasy). Next Generation gave the 3DO version 4/5, EGM 7.625/10.</x:v>
      </x:c>
      <x:c r="AG92" s="9" t="str">
        <x:v>NA Virgin release; PAL 3DO release unconfirmed</x:v>
      </x:c>
      <x:c r="AH92" s="9" t="str">
        <x:v>No (3DO); PC version on GOG</x:v>
      </x:c>
      <x:c r="AI92" s="9" t="str">
        <x:v>Easy</x:v>
      </x:c>
      <x:c r="AJ92" s="9"/>
      <x:c r="AK92" s="9" t="str">
        <x:v>3DO NA Mar 1, 1995; JP/PAL listed unreleased on Wikipedia — verify PAL.</x:v>
      </x:c>
      <x:c r="AL92" s="10" t="n">
        <x:v>20.75</x:v>
      </x:c>
      <x:c r="AM92" s="10" t="n">
        <x:v>123.5</x:v>
      </x:c>
      <x:c r="AN92" s="10" t="n">
        <x:v>247</x:v>
      </x:c>
      <x:c r="AO92" s="9" t="str">
        <x:v>2026-10-20</x:v>
      </x:c>
      <x:c r="AP92" s="11" t="str">
        <x:f>HYPERLINK("https://www.pricecharting.com/search-products?q=Lost+Eden+3do&amp;type=prices","PriceCharting")</x:f>
        <x:v>PriceCharting</x:v>
      </x:c>
      <x:c r="AQ92" s="9"/>
      <x:c r="AR92" s="9"/>
      <x:c r="AS92" s="9"/>
      <x:c r="AT92" s="9"/>
      <x:c r="AU92" s="9"/>
      <x:c r="AV92" s="9"/>
      <x:c r="AW92" s="9"/>
      <x:c r="AX92" s="9"/>
      <x:c r="AY92" s="9" t="str">
        <x:v>73%</x:v>
      </x:c>
      <x:c r="AZ92" s="9"/>
      <x:c r="BA92" s="11" t="str">
        <x:f>HYPERLINK("https://www.mobygames.com/game/lost-eden","MobyGames")</x:f>
        <x:v>MobyGames</x:v>
      </x:c>
      <x:c r="BB92" s="9"/>
      <x:c r="BC92" s="9"/>
      <x:c r="BD92" s="9"/>
      <x:c r="BE92" s="11" t="str">
        <x:f>HYPERLINK("https://en.wikipedia.org/wiki/Lost_Eden","Wikipedia")</x:f>
        <x:v>Wikipedia</x:v>
      </x:c>
      <x:c r="BF92" s="11" t="str">
        <x:f>HYPERLINK("https://backloggd.com/search/games/Lost%20Eden/","Backloggd")</x:f>
        <x:v>Backloggd</x:v>
      </x:c>
      <x:c r="BG92" s="9"/>
      <x:c r="BH92" s="9"/>
      <x:c r="BI92" s="12" t="str">
        <x:v>No</x:v>
      </x:c>
      <x:c r="BJ92" s="12" t="str"/>
      <x:c r="BK92" s="12" t="str">
        <x:v>No</x:v>
      </x:c>
      <x:c r="BL92" s="12" t="str"/>
      <x:c r="BM92" s="12" t="str"/>
      <x:c r="BN92" s="12" t="str"/>
      <x:c r="BO92" s="12" t="str"/>
      <x:c r="BP92" s="12" t="str"/>
      <x:c r="BQ92" s="12" t="str"/>
    </x:row>
    <x:row r="93">
      <x:c r="A93" s="9" t="str">
        <x:v>3do-25</x:v>
      </x:c>
      <x:c r="B93" s="9" t="str">
        <x:v>dragon-lore-the-legend-begins</x:v>
      </x:c>
      <x:c r="C93" s="9" t="str">
        <x:v>3DO</x:v>
      </x:c>
      <x:c r="D93" s="9" t="str">
        <x:v>Dragon Lore: The Legend Begins</x:v>
      </x:c>
      <x:c r="E93" s="9" t="str">
        <x:v>Dragon Lore</x:v>
      </x:c>
      <x:c r="F93" s="9" t="str">
        <x:v>Cryo Interactive</x:v>
      </x:c>
      <x:c r="G93" s="9" t="str">
        <x:v>Mindscape</x:v>
      </x:c>
      <x:c r="H93" s="9" t="n">
        <x:v>1995</x:v>
      </x:c>
      <x:c r="I93" s="9" t="str">
        <x:v>Yes</x:v>
      </x:c>
      <x:c r="J93" s="9" t="str">
        <x:v>No</x:v>
      </x:c>
      <x:c r="K93" s="9" t="str">
        <x:v>Yes</x:v>
      </x:c>
      <x:c r="L93" s="9" t="str">
        <x:v>No</x:v>
      </x:c>
      <x:c r="M93" s="9" t="str">
        <x:v>Adventure / RPG-lite</x:v>
      </x:c>
      <x:c r="N93" s="9" t="str">
        <x:v>Pre-rendered CG</x:v>
      </x:c>
      <x:c r="O93" s="9" t="n">
        <x:v>6</x:v>
      </x:c>
      <x:c r="P93" s="9" t="str">
        <x:v>FMV adventure</x:v>
      </x:c>
      <x:c r="Q93" s="9" t="str">
        <x:v>Released</x:v>
      </x:c>
      <x:c r="R93" s="9" t="str">
        <x:v>PC original (MS-DOS, 1994)</x:v>
      </x:c>
      <x:c r="S93" s="9" t="str">
        <x:v>MS-DOS, Windows/macOS (GOG 2013)</x:v>
      </x:c>
      <x:c r="T93" s="9" t="str">
        <x:v>—</x:v>
      </x:c>
      <x:c r="U93" s="9" t="n">
        <x:v>3</x:v>
      </x:c>
      <x:c r="V93" s="9" t="str">
        <x:v>Yes</x:v>
      </x:c>
      <x:c r="W93" s="9" t="str">
        <x:v>Standard 3DO controller</x:v>
      </x:c>
      <x:c r="X93" s="9" t="str">
        <x:v>Low</x:v>
      </x:c>
      <x:c r="Y93" s="9" t="str"/>
      <x:c r="Z93" s="9" t="str">
        <x:v>5–8 hr</x:v>
      </x:c>
      <x:c r="AA93" s="9" t="str">
        <x:v>A three-disc pre-rendered fantasy quest where dying in a cutscene was half the appeal.</x:v>
      </x:c>
      <x:c r="AB93" s="9" t="str">
        <x:v>None known</x:v>
      </x:c>
      <x:c r="AC93" s="9" t="str">
        <x:v>Pre-rendered animation sequences, near full screen; slow disc access noted by GamePro</x:v>
      </x:c>
      <x:c r="AD93" s="9" t="str">
        <x:v>Moderate; sudden-death encounters</x:v>
      </x:c>
      <x:c r="AE93" s="9" t="str">
        <x:v>Single main ending with multiple death sequences</x:v>
      </x:c>
      <x:c r="AF93" s="9" t="str">
        <x:v>Sold 300,000 units by 1997 and was bundled with the Reveal multimedia kit alongside MegaRace.</x:v>
      </x:c>
      <x:c r="AG93" s="9" t="str">
        <x:v>NA Mindscape 3-disc long box; PAL release 1995</x:v>
      </x:c>
      <x:c r="AH93" s="9" t="str">
        <x:v>No (3DO); PC version on GOG</x:v>
      </x:c>
      <x:c r="AI93" s="9" t="str">
        <x:v>Easy</x:v>
      </x:c>
      <x:c r="AJ93" s="9"/>
      <x:c r="AK93" s="9" t="str">
        <x:v>3DO NA Oct 30, 1995; PAL 1995; no JP. GamePro brief positive review May 1996.</x:v>
      </x:c>
      <x:c r="AL93" s="10" t="n">
        <x:v>33.44</x:v>
      </x:c>
      <x:c r="AM93" s="10" t="n">
        <x:v>68.81</x:v>
      </x:c>
      <x:c r="AN93" s="10" t="n">
        <x:v>88.26</x:v>
      </x:c>
      <x:c r="AO93" s="9" t="str">
        <x:v>2026-10-20</x:v>
      </x:c>
      <x:c r="AP93" s="11" t="str">
        <x:f>HYPERLINK("https://www.pricecharting.com/search-products?q=Dragon+Lore%3A+The+Legend+Begins+3do&amp;type=prices","PriceCharting")</x:f>
        <x:v>PriceCharting</x:v>
      </x:c>
      <x:c r="AQ93" s="9"/>
      <x:c r="AR93" s="9"/>
      <x:c r="AS93" s="9"/>
      <x:c r="AT93" s="9"/>
      <x:c r="AU93" s="9"/>
      <x:c r="AV93" s="9"/>
      <x:c r="AW93" s="9"/>
      <x:c r="AX93" s="9"/>
      <x:c r="AY93" s="9" t="str">
        <x:v>79%</x:v>
      </x:c>
      <x:c r="AZ93" s="9" t="str">
        <x:v>3.7</x:v>
      </x:c>
      <x:c r="BA93" s="11" t="str">
        <x:f>HYPERLINK("https://www.mobygames.com/game/dragon-lore-the-legend-begins","MobyGames")</x:f>
        <x:v>MobyGames</x:v>
      </x:c>
      <x:c r="BB93" s="9"/>
      <x:c r="BC93" s="9"/>
      <x:c r="BD93" s="9"/>
      <x:c r="BE93" s="11" t="str">
        <x:f>HYPERLINK("https://en.wikipedia.org/wiki/Dragon_Lore:_The_Legend_Begins","Wikipedia")</x:f>
        <x:v>Wikipedia</x:v>
      </x:c>
      <x:c r="BF93" s="11" t="str">
        <x:f>HYPERLINK("https://backloggd.com/search/games/Dragon%20Lore%3A%20The%20Legend%20Begins/","Backloggd")</x:f>
        <x:v>Backloggd</x:v>
      </x:c>
      <x:c r="BG93" s="9"/>
      <x:c r="BH93" s="9"/>
      <x:c r="BI93" s="12" t="str">
        <x:v>No</x:v>
      </x:c>
      <x:c r="BJ93" s="12" t="str"/>
      <x:c r="BK93" s="12" t="str">
        <x:v>No</x:v>
      </x:c>
      <x:c r="BL93" s="12" t="str"/>
      <x:c r="BM93" s="12" t="str"/>
      <x:c r="BN93" s="12" t="str"/>
      <x:c r="BO93" s="12" t="str"/>
      <x:c r="BP93" s="12" t="str"/>
      <x:c r="BQ93" s="12" t="str"/>
    </x:row>
    <x:row r="94">
      <x:c r="A94" s="9" t="str">
        <x:v>3do-26</x:v>
      </x:c>
      <x:c r="B94" s="9" t="str">
        <x:v>myst</x:v>
      </x:c>
      <x:c r="C94" s="9" t="str">
        <x:v>3DO</x:v>
      </x:c>
      <x:c r="D94" s="9" t="str">
        <x:v>Myst</x:v>
      </x:c>
      <x:c r="E94" s="9" t="str"/>
      <x:c r="F94" s="9" t="str">
        <x:v>Cyan (original); Microcabin (3DO port)</x:v>
      </x:c>
      <x:c r="G94" s="9" t="str">
        <x:v>Panasonic (NA, EU), Microcabin (JP)</x:v>
      </x:c>
      <x:c r="H94" s="9" t="n">
        <x:v>1995</x:v>
      </x:c>
      <x:c r="I94" s="9" t="str">
        <x:v>Yes</x:v>
      </x:c>
      <x:c r="J94" s="9" t="str">
        <x:v>Yes</x:v>
      </x:c>
      <x:c r="K94" s="9" t="str">
        <x:v>Yes</x:v>
      </x:c>
      <x:c r="L94" s="9" t="str">
        <x:v>No</x:v>
      </x:c>
      <x:c r="M94" s="9" t="str">
        <x:v>Puzzle adventure</x:v>
      </x:c>
      <x:c r="N94" s="9" t="str">
        <x:v>Live-action + pre-rendered CG</x:v>
      </x:c>
      <x:c r="O94" s="9" t="n">
        <x:v>4</x:v>
      </x:c>
      <x:c r="P94" s="9" t="str">
        <x:v>FMV adventure</x:v>
      </x:c>
      <x:c r="Q94" s="9" t="str">
        <x:v>Released</x:v>
      </x:c>
      <x:c r="R94" s="9" t="str">
        <x:v>PC original (Mac, 1993)</x:v>
      </x:c>
      <x:c r="S94" s="9" t="str">
        <x:v>Mac, Windows, Saturn, PlayStation, Jaguar CD, CD-i, PSP, DS, 3DS, iOS, Android, Switch, VR</x:v>
      </x:c>
      <x:c r="T94" s="9" t="str">
        <x:v>Rand Miller as Atrus, Robyn Miller as Sirrus, Chuck Carter as Achenar</x:v>
      </x:c>
      <x:c r="U94" s="9" t="n">
        <x:v>1</x:v>
      </x:c>
      <x:c r="V94" s="9" t="str">
        <x:v>Yes</x:v>
      </x:c>
      <x:c r="W94" s="9" t="str">
        <x:v>Standard 3DO controller; 3DO mouse (verify)</x:v>
      </x:c>
      <x:c r="X94" s="9" t="str">
        <x:v>Low</x:v>
      </x:c>
      <x:c r="Y94" s="9" t="str"/>
      <x:c r="Z94" s="9" t="str">
        <x:v>6–10 hr</x:v>
      </x:c>
      <x:c r="AA94" s="9" t="str">
        <x:v>The game that sold CD-ROM drives, on the console that needed it most — a near-identical port with a controller cursor.</x:v>
      </x:c>
      <x:c r="AB94" s="9" t="str">
        <x:v>None known (3DO)</x:v>
      </x:c>
      <x:c r="AC94" s="9" t="str">
        <x:v>Pre-rendered stills with small QuickTime-style video insets of live actors; full-screen 320x240 scenes</x:v>
      </x:c>
      <x:c r="AD94" s="9" t="str">
        <x:v>Moderate to hard; pure puzzle logic, no deaths</x:v>
      </x:c>
      <x:c r="AE94" s="9" t="str">
        <x:v>Four endings: trapped with Sirrus, with Achenar, trapped in D'ni with Atrus, or the true ending</x:v>
      </x:c>
      <x:c r="AF94" s="9" t="str">
        <x:v>Wikipedia credits Sunsoft for NA in one note, Panasonic elsewhere — the NA 3DO box is Panasonic. GamePro gave the 3DO port a perfect 5/5 across categories.</x:v>
      </x:c>
      <x:c r="AG94" s="9" t="str">
        <x:v>NA Panasonic long box, PAL Panasonic, Japanese Microcabin release</x:v>
      </x:c>
      <x:c r="AH94" s="9" t="str">
        <x:v>No (3DO); numerous remakes/re-releases on PC, consoles, mobile and VR</x:v>
      </x:c>
      <x:c r="AI94" s="9" t="str">
        <x:v>Easy</x:v>
      </x:c>
      <x:c r="AJ94" s="9"/>
      <x:c r="AK94" s="9" t="str">
        <x:v>3DO NA Mar 17, 1995; JP Apr 14, 1995; PAL 1995. Next Generation 2/5.</x:v>
      </x:c>
      <x:c r="AL94" s="10" t="n">
        <x:v>16.6</x:v>
      </x:c>
      <x:c r="AM94" s="10" t="n">
        <x:v>25.82</x:v>
      </x:c>
      <x:c r="AN94" s="10" t="n">
        <x:v>49.98</x:v>
      </x:c>
      <x:c r="AO94" s="9" t="str">
        <x:v>2026-10-20</x:v>
      </x:c>
      <x:c r="AP94" s="11" t="str">
        <x:f>HYPERLINK("https://www.pricecharting.com/search-products?q=Myst+3do&amp;type=prices","PriceCharting")</x:f>
        <x:v>PriceCharting</x:v>
      </x:c>
      <x:c r="AQ94" s="9"/>
      <x:c r="AR94" s="9"/>
      <x:c r="AS94" s="9"/>
      <x:c r="AT94" s="9"/>
      <x:c r="AU94" s="9"/>
      <x:c r="AV94" s="9"/>
      <x:c r="AW94" s="9"/>
      <x:c r="AX94" s="9"/>
      <x:c r="AY94" s="9" t="str">
        <x:v>74%</x:v>
      </x:c>
      <x:c r="AZ94" s="9" t="str">
        <x:v>3.8</x:v>
      </x:c>
      <x:c r="BA94" s="11" t="str">
        <x:f>HYPERLINK("https://www.mobygames.com/game/1131/myst/","MobyGames")</x:f>
        <x:v>MobyGames</x:v>
      </x:c>
      <x:c r="BB94" s="9"/>
      <x:c r="BC94" s="9"/>
      <x:c r="BD94" s="9"/>
      <x:c r="BE94" s="11" t="str">
        <x:f>HYPERLINK("https://en.wikipedia.org/wiki/Myst","Wikipedia")</x:f>
        <x:v>Wikipedia</x:v>
      </x:c>
      <x:c r="BF94" s="11" t="str">
        <x:f>HYPERLINK("https://backloggd.com/search/games/Myst/","Backloggd")</x:f>
        <x:v>Backloggd</x:v>
      </x:c>
      <x:c r="BG94" s="9"/>
      <x:c r="BH94" s="9"/>
      <x:c r="BI94" s="12" t="str">
        <x:v>No</x:v>
      </x:c>
      <x:c r="BJ94" s="12" t="str"/>
      <x:c r="BK94" s="12" t="str">
        <x:v>No</x:v>
      </x:c>
      <x:c r="BL94" s="12" t="str"/>
      <x:c r="BM94" s="12" t="str"/>
      <x:c r="BN94" s="12" t="str"/>
      <x:c r="BO94" s="12" t="str"/>
      <x:c r="BP94" s="12" t="str"/>
      <x:c r="BQ94" s="12" t="str"/>
    </x:row>
    <x:row r="95">
      <x:c r="A95" s="9" t="str">
        <x:v>3do-27</x:v>
      </x:c>
      <x:c r="B95" s="9" t="str">
        <x:v>the-daedalus-encounter</x:v>
      </x:c>
      <x:c r="C95" s="9" t="str">
        <x:v>3DO</x:v>
      </x:c>
      <x:c r="D95" s="9" t="str">
        <x:v>The Daedalus Encounter</x:v>
      </x:c>
      <x:c r="E95" s="9" t="str"/>
      <x:c r="F95" s="9" t="str">
        <x:v>Mechadeus (original); Lifelike Productions / Palmsoft (3DO port)</x:v>
      </x:c>
      <x:c r="G95" s="9" t="str">
        <x:v>Panasonic (NA, EU), Hatnet (JP)</x:v>
      </x:c>
      <x:c r="H95" s="9" t="n">
        <x:v>1995</x:v>
      </x:c>
      <x:c r="I95" s="9" t="str">
        <x:v>Yes</x:v>
      </x:c>
      <x:c r="J95" s="9" t="str">
        <x:v>Yes</x:v>
      </x:c>
      <x:c r="K95" s="9" t="str">
        <x:v>Yes</x:v>
      </x:c>
      <x:c r="L95" s="9" t="str">
        <x:v>No</x:v>
      </x:c>
      <x:c r="M95" s="9" t="str">
        <x:v>Interactive movie / puzzle</x:v>
      </x:c>
      <x:c r="N95" s="9" t="str">
        <x:v>Live-action + pre-rendered CG</x:v>
      </x:c>
      <x:c r="O95" s="9" t="n">
        <x:v>8</x:v>
      </x:c>
      <x:c r="P95" s="9" t="str">
        <x:v>Interactive movie</x:v>
      </x:c>
      <x:c r="Q95" s="9" t="str">
        <x:v>Released</x:v>
      </x:c>
      <x:c r="R95" s="9" t="str">
        <x:v>PC original (Windows/DOS, Apr 1995)</x:v>
      </x:c>
      <x:c r="S95" s="9" t="str">
        <x:v>Windows, Mac, DVD-ROM OEM edition</x:v>
      </x:c>
      <x:c r="T95" s="9" t="str">
        <x:v>Tia Carrere as Ariel Matheson, Christian Bocher as Zack Smith</x:v>
      </x:c>
      <x:c r="U95" s="9" t="n">
        <x:v>4</x:v>
      </x:c>
      <x:c r="V95" s="9" t="str">
        <x:v>Yes</x:v>
      </x:c>
      <x:c r="W95" s="9" t="str">
        <x:v>Standard 3DO controller</x:v>
      </x:c>
      <x:c r="X95" s="9" t="str">
        <x:v>Low</x:v>
      </x:c>
      <x:c r="Y95" s="9" t="str"/>
      <x:c r="Z95" s="9" t="str">
        <x:v>3–5 hr</x:v>
      </x:c>
      <x:c r="AA95" s="9" t="str">
        <x:v>You are a brain in a jar and Tia Carrere is your pilot — four discs of full-screen sci-fi FMV, the 3DO's showcase port.</x:v>
      </x:c>
      <x:c r="AB95" s="9" t="str">
        <x:v>None known</x:v>
      </x:c>
      <x:c r="AC95" s="9" t="str">
        <x:v>Video always full screen on 3DO (PC used a windowed interface); praised as the best-looking version</x:v>
      </x:c>
      <x:c r="AD95" s="9" t="str">
        <x:v>Moderate; puzzle-driven with infrequent interaction</x:v>
      </x:c>
      <x:c r="AE95" s="9" t="str">
        <x:v>Three endings: Artemis burns up; Ari kills the alien Queen and escapes; or the alien responds to Casey and repairs the ship</x:v>
      </x:c>
      <x:c r="AF95" s="9" t="str">
        <x:v>Alternate scenes were filmed at Cinerent Stage A in San Francisco so the story shifts with player progress. Maximum called the 3DO FMV 'by far the most superior effort of any format.'</x:v>
      </x:c>
      <x:c r="AG95" s="9" t="str">
        <x:v>NA Panasonic 4-disc long box; PAL Panasonic; Japanese Hatnet release</x:v>
      </x:c>
      <x:c r="AH95" s="9" t="str">
        <x:v>No</x:v>
      </x:c>
      <x:c r="AI95" s="9" t="str">
        <x:v>Easy</x:v>
      </x:c>
      <x:c r="AJ95" s="9"/>
      <x:c r="AK95" s="9" t="str">
        <x:v>3DO NA Sep 30, 1995; JP Nov 10, 1995; PAL 1995. Next Generation 3/5.</x:v>
      </x:c>
      <x:c r="AL95" s="10" t="n">
        <x:v>24.3</x:v>
      </x:c>
      <x:c r="AM95" s="10" t="n">
        <x:v>38.76</x:v>
      </x:c>
      <x:c r="AN95" s="10" t="n">
        <x:v>51.65</x:v>
      </x:c>
      <x:c r="AO95" s="9" t="str">
        <x:v>2026-10-20</x:v>
      </x:c>
      <x:c r="AP95" s="11" t="str">
        <x:f>HYPERLINK("https://www.pricecharting.com/search-products?q=The+Daedalus+Encounter+3do&amp;type=prices","PriceCharting")</x:f>
        <x:v>PriceCharting</x:v>
      </x:c>
      <x:c r="AQ95" s="9"/>
      <x:c r="AR95" s="9"/>
      <x:c r="AS95" s="9"/>
      <x:c r="AT95" s="9"/>
      <x:c r="AU95" s="9"/>
      <x:c r="AV95" s="9"/>
      <x:c r="AW95" s="9"/>
      <x:c r="AX95" s="9"/>
      <x:c r="AY95" s="9"/>
      <x:c r="AZ95" s="9"/>
      <x:c r="BA95" s="11" t="str">
        <x:f>HYPERLINK("https://www.mobygames.com/game/the-daedalus-encounter","MobyGames")</x:f>
        <x:v>MobyGames</x:v>
      </x:c>
      <x:c r="BB95" s="9" t="str">
        <x:v>60%</x:v>
      </x:c>
      <x:c r="BC95" s="9" t="str">
        <x:v>average of 1 review on Wikipedia (Maximum)</x:v>
      </x:c>
      <x:c r="BD95" s="9" t="str">
        <x:f>HYPERLINK("https://en.wikipedia.org/wiki/The_Daedalus_Encounter","Source")</x:f>
        <x:v>Source</x:v>
      </x:c>
      <x:c r="BE95" s="11" t="str">
        <x:f>HYPERLINK("https://en.wikipedia.org/wiki/The_Daedalus_Encounter","Wikipedia")</x:f>
        <x:v>Wikipedia</x:v>
      </x:c>
      <x:c r="BF95" s="11" t="str">
        <x:f>HYPERLINK("https://backloggd.com/search/games/The%20Daedalus%20Encounter/","Backloggd")</x:f>
        <x:v>Backloggd</x:v>
      </x:c>
      <x:c r="BG95" s="9"/>
      <x:c r="BH95" s="9"/>
      <x:c r="BI95" s="12" t="str">
        <x:v>No</x:v>
      </x:c>
      <x:c r="BJ95" s="12" t="str"/>
      <x:c r="BK95" s="12" t="str">
        <x:v>No</x:v>
      </x:c>
      <x:c r="BL95" s="12" t="str"/>
      <x:c r="BM95" s="12" t="str"/>
      <x:c r="BN95" s="12" t="str"/>
      <x:c r="BO95" s="12" t="str"/>
      <x:c r="BP95" s="12" t="str"/>
      <x:c r="BQ95" s="12" t="str"/>
    </x:row>
    <x:row r="96">
      <x:c r="A96" s="9" t="str">
        <x:v>3do-28</x:v>
      </x:c>
      <x:c r="B96" s="9" t="str">
        <x:v>psychic-detective</x:v>
      </x:c>
      <x:c r="C96" s="9" t="str">
        <x:v>3DO</x:v>
      </x:c>
      <x:c r="D96" s="9" t="str">
        <x:v>Psychic Detective</x:v>
      </x:c>
      <x:c r="E96" s="9" t="str"/>
      <x:c r="F96" s="9" t="str">
        <x:v>Colossal Pictures / Electronic Arts</x:v>
      </x:c>
      <x:c r="G96" s="9" t="str">
        <x:v>Electronic Arts</x:v>
      </x:c>
      <x:c r="H96" s="9" t="n">
        <x:v>1995</x:v>
      </x:c>
      <x:c r="I96" s="9" t="str">
        <x:v>Yes</x:v>
      </x:c>
      <x:c r="J96" s="9" t="str">
        <x:v>No</x:v>
      </x:c>
      <x:c r="K96" s="9" t="str">
        <x:v>Yes</x:v>
      </x:c>
      <x:c r="L96" s="9" t="str">
        <x:v>No</x:v>
      </x:c>
      <x:c r="M96" s="9" t="str">
        <x:v>Interactive movie / mystery</x:v>
      </x:c>
      <x:c r="N96" s="9" t="str">
        <x:v>Live-action</x:v>
      </x:c>
      <x:c r="O96" s="9" t="n">
        <x:v>10</x:v>
      </x:c>
      <x:c r="P96" s="9" t="str">
        <x:v>Interactive movie</x:v>
      </x:c>
      <x:c r="Q96" s="9" t="str">
        <x:v>Released</x:v>
      </x:c>
      <x:c r="R96" s="9" t="str">
        <x:v>Original production (PC and 3DO released close together, late 1995)</x:v>
      </x:c>
      <x:c r="S96" s="9" t="str">
        <x:v>MS-DOS, PlayStation</x:v>
      </x:c>
      <x:c r="T96" s="9" t="str">
        <x:v>Kevin Breznahan as Eric Fox, Beata Pozniak as Laina Pozok</x:v>
      </x:c>
      <x:c r="U96" s="9" t="n">
        <x:v>3</x:v>
      </x:c>
      <x:c r="V96" s="9" t="str">
        <x:v>Yes</x:v>
      </x:c>
      <x:c r="W96" s="9" t="str">
        <x:v>Standard 3DO controller</x:v>
      </x:c>
      <x:c r="X96" s="9" t="str">
        <x:v>Low</x:v>
      </x:c>
      <x:c r="Y96" s="9" t="str"/>
      <x:c r="Z96" s="9" t="str">
        <x:v>45 min per run; multiple runs needed</x:v>
      </x:c>
      <x:c r="AA96" s="9" t="str">
        <x:v>A 45-minute psychic noir you can replay a dozen ways — including by doing nothing at all.</x:v>
      </x:c>
      <x:c r="AB96" s="9" t="str">
        <x:v>None known</x:v>
      </x:c>
      <x:c r="AC96" s="9" t="str">
        <x:v>Live-action video near full screen with clickable icons; GamePro praised its sharp FMV on 3DO</x:v>
      </x:c>
      <x:c r="AD96" s="9" t="str">
        <x:v>Easy per run; the challenge is finding branches</x:v>
      </x:c>
      <x:c r="AE96" s="9" t="str">
        <x:v>About a dozen endings; the finale is a surreal board game against the villain</x:v>
      </x:c>
      <x:c r="AF96" s="9" t="str">
        <x:v>About 200 people worked on it, including 95 actors; shot over 20 days in San Francisco and Oakland. The footage was cut into a short film shown at a film festival.</x:v>
      </x:c>
      <x:c r="AG96" s="9" t="str">
        <x:v>NA EA 3-disc long box; PAL release 1995/96</x:v>
      </x:c>
      <x:c r="AH96" s="9" t="str">
        <x:v>No</x:v>
      </x:c>
      <x:c r="AI96" s="9" t="str">
        <x:v>Easy</x:v>
      </x:c>
      <x:c r="AJ96" s="9"/>
      <x:c r="AK96" s="9" t="str">
        <x:v>3DO NA date conflicts: Wikipedia 3DO list and retail listings give Nov 10, 1995; the Wikipedia article and GameFAQs say 1996. PAL 1995. Three discs (ROM sets list Disc 1 to 3 of 3).</x:v>
      </x:c>
      <x:c r="AL96" s="10" t="n">
        <x:v>17.76</x:v>
      </x:c>
      <x:c r="AM96" s="10" t="n">
        <x:v>33.22</x:v>
      </x:c>
      <x:c r="AN96" s="10" t="n">
        <x:v>50</x:v>
      </x:c>
      <x:c r="AO96" s="9" t="str">
        <x:v>2026-10-20</x:v>
      </x:c>
      <x:c r="AP96" s="11" t="str">
        <x:f>HYPERLINK("https://www.pricecharting.com/search-products?q=Psychic+Detective+3do&amp;type=prices","PriceCharting")</x:f>
        <x:v>PriceCharting</x:v>
      </x:c>
      <x:c r="AQ96" s="9"/>
      <x:c r="AR96" s="9"/>
      <x:c r="AS96" s="9"/>
      <x:c r="AT96" s="9"/>
      <x:c r="AU96" s="9"/>
      <x:c r="AV96" s="9"/>
      <x:c r="AW96" s="9"/>
      <x:c r="AX96" s="9"/>
      <x:c r="AY96" s="9" t="str">
        <x:v>67%</x:v>
      </x:c>
      <x:c r="AZ96" s="9" t="str">
        <x:v>3.5</x:v>
      </x:c>
      <x:c r="BA96" s="11" t="str">
        <x:f>HYPERLINK("https://www.mobygames.com/game/psychic-detective","MobyGames")</x:f>
        <x:v>MobyGames</x:v>
      </x:c>
      <x:c r="BB96" s="9"/>
      <x:c r="BC96" s="9"/>
      <x:c r="BD96" s="9"/>
      <x:c r="BE96" s="11" t="str">
        <x:f>HYPERLINK("https://en.wikipedia.org/wiki/Psychic_Detective_(video_game)","Wikipedia")</x:f>
        <x:v>Wikipedia</x:v>
      </x:c>
      <x:c r="BF96" s="11" t="str">
        <x:f>HYPERLINK("https://backloggd.com/search/games/Psychic%20Detective/","Backloggd")</x:f>
        <x:v>Backloggd</x:v>
      </x:c>
      <x:c r="BG96" s="9"/>
      <x:c r="BH96" s="9"/>
      <x:c r="BI96" s="12" t="str">
        <x:v>No</x:v>
      </x:c>
      <x:c r="BJ96" s="12" t="str"/>
      <x:c r="BK96" s="12" t="str">
        <x:v>No</x:v>
      </x:c>
      <x:c r="BL96" s="12" t="str"/>
      <x:c r="BM96" s="12" t="str"/>
      <x:c r="BN96" s="12" t="str"/>
      <x:c r="BO96" s="12" t="str"/>
      <x:c r="BP96" s="12" t="str"/>
      <x:c r="BQ96" s="12" t="str"/>
    </x:row>
    <x:row r="97">
      <x:c r="A97" s="9" t="str">
        <x:v>3do-29</x:v>
      </x:c>
      <x:c r="B97" s="9" t="str">
        <x:v>hell-a-cyberpunk-thriller</x:v>
      </x:c>
      <x:c r="C97" s="9" t="str">
        <x:v>3DO</x:v>
      </x:c>
      <x:c r="D97" s="9" t="str">
        <x:v>Hell: A Cyberpunk Thriller</x:v>
      </x:c>
      <x:c r="E97" s="9" t="str"/>
      <x:c r="F97" s="9" t="str">
        <x:v>Take-Two Interactive (original); Tetragon (3DO port)</x:v>
      </x:c>
      <x:c r="G97" s="9" t="str">
        <x:v>GameTek</x:v>
      </x:c>
      <x:c r="H97" s="9" t="n">
        <x:v>1994</x:v>
      </x:c>
      <x:c r="I97" s="9" t="str">
        <x:v>Yes</x:v>
      </x:c>
      <x:c r="J97" s="9" t="str">
        <x:v>No</x:v>
      </x:c>
      <x:c r="K97" s="9" t="str">
        <x:v>No</x:v>
      </x:c>
      <x:c r="L97" s="9" t="str">
        <x:v>No</x:v>
      </x:c>
      <x:c r="M97" s="9" t="str">
        <x:v>Point-and-click adventure</x:v>
      </x:c>
      <x:c r="N97" s="9" t="str">
        <x:v>Live-action + CG</x:v>
      </x:c>
      <x:c r="O97" s="9" t="n">
        <x:v>6</x:v>
      </x:c>
      <x:c r="P97" s="9" t="str">
        <x:v>FMV adventure</x:v>
      </x:c>
      <x:c r="Q97" s="9" t="str">
        <x:v>Released</x:v>
      </x:c>
      <x:c r="R97" s="9" t="str">
        <x:v>PC original (MS-DOS, 1994)</x:v>
      </x:c>
      <x:c r="S97" s="9" t="str">
        <x:v>MS-DOS, Mac (JP), Windows (JP)</x:v>
      </x:c>
      <x:c r="T97" s="9" t="str">
        <x:v>Dennis Hopper, Grace Jones, Stephanie Seymour, Geoffrey Holder</x:v>
      </x:c>
      <x:c r="U97" s="9" t="n">
        <x:v>1</x:v>
      </x:c>
      <x:c r="V97" s="9" t="str">
        <x:v>Yes</x:v>
      </x:c>
      <x:c r="W97" s="9" t="str">
        <x:v>Standard 3DO controller</x:v>
      </x:c>
      <x:c r="X97" s="9" t="str">
        <x:v>Low</x:v>
      </x:c>
      <x:c r="Y97" s="9" t="str"/>
      <x:c r="Z97" s="9" t="str">
        <x:v>6–10 hr</x:v>
      </x:c>
      <x:c r="AA97" s="9" t="str">
        <x:v>Dennis Hopper and Grace Jones voice CG demons in a 2095 theocratic Washington — and the 3DO runs the whole thing full screen.</x:v>
      </x:c>
      <x:c r="AB97" s="9" t="str">
        <x:v>None known</x:v>
      </x:c>
      <x:c r="AC97" s="9" t="str">
        <x:v>Same FMV as PC but played entirely full screen (PC was partial-screen); rendered characters over live/CG backdrops</x:v>
      </x:c>
      <x:c r="AD97" s="9" t="str">
        <x:v>Hard; pixel-hunting cursor and script bugs can make puzzles unsolvable</x:v>
      </x:c>
      <x:c r="AE97" s="9" t="str">
        <x:v>Single ending</x:v>
      </x:c>
      <x:c r="AF97" s="9" t="str">
        <x:v>Sold 300,000 units in six months, yet CGW named it the 12th-worst computer game ever in 1996. Chet Williamson wrote a novelization.</x:v>
      </x:c>
      <x:c r="AG97" s="9" t="str">
        <x:v>NA GameTek long box; Wikipedia's game infobox gives an EU 1994 release for MS-DOS/3DO, which the 3DO list omits.</x:v>
      </x:c>
      <x:c r="AH97" s="9" t="str">
        <x:v>No (not sold on GOG or Steam)</x:v>
      </x:c>
      <x:c r="AI97" s="9" t="str">
        <x:v>Easy</x:v>
      </x:c>
      <x:c r="AJ97" s="9"/>
      <x:c r="AK97" s="9" t="str">
        <x:v>3DO NA Dec 1994. Single disc per PriceCharting listings. Next Generation 2/5 for 3DO.</x:v>
      </x:c>
      <x:c r="AL97" s="10" t="n">
        <x:v>24.35</x:v>
      </x:c>
      <x:c r="AM97" s="10" t="n">
        <x:v>61.34</x:v>
      </x:c>
      <x:c r="AN97" s="10" t="n">
        <x:v>80</x:v>
      </x:c>
      <x:c r="AO97" s="9" t="str">
        <x:v>2026-10-20</x:v>
      </x:c>
      <x:c r="AP97" s="11" t="str">
        <x:f>HYPERLINK("https://www.pricecharting.com/search-products?q=Hell%3A+A+Cyberpunk+Thriller+3do&amp;type=prices","PriceCharting")</x:f>
        <x:v>PriceCharting</x:v>
      </x:c>
      <x:c r="AQ97" s="9"/>
      <x:c r="AR97" s="9"/>
      <x:c r="AS97" s="9"/>
      <x:c r="AT97" s="9"/>
      <x:c r="AU97" s="9"/>
      <x:c r="AV97" s="9"/>
      <x:c r="AW97" s="9"/>
      <x:c r="AX97" s="9"/>
      <x:c r="AY97" s="9" t="str">
        <x:v>53%</x:v>
      </x:c>
      <x:c r="AZ97" s="9" t="str">
        <x:v>3.1</x:v>
      </x:c>
      <x:c r="BA97" s="11" t="str">
        <x:f>HYPERLINK("https://www.mobygames.com/game/hell-a-cyberpunk-thriller","MobyGames")</x:f>
        <x:v>MobyGames</x:v>
      </x:c>
      <x:c r="BB97" s="9"/>
      <x:c r="BC97" s="9"/>
      <x:c r="BD97" s="9"/>
      <x:c r="BE97" s="11" t="str">
        <x:f>HYPERLINK("https://en.wikipedia.org/wiki/Hell:_A_Cyberpunk_Thriller","Wikipedia")</x:f>
        <x:v>Wikipedia</x:v>
      </x:c>
      <x:c r="BF97" s="11" t="str">
        <x:f>HYPERLINK("https://backloggd.com/search/games/Hell%3A%20A%20Cyberpunk%20Thriller/","Backloggd")</x:f>
        <x:v>Backloggd</x:v>
      </x:c>
      <x:c r="BG97" s="9"/>
      <x:c r="BH97" s="9"/>
      <x:c r="BI97" s="12" t="str">
        <x:v>No</x:v>
      </x:c>
      <x:c r="BJ97" s="12" t="str"/>
      <x:c r="BK97" s="12" t="str">
        <x:v>No</x:v>
      </x:c>
      <x:c r="BL97" s="12" t="str"/>
      <x:c r="BM97" s="12" t="str"/>
      <x:c r="BN97" s="12" t="str"/>
      <x:c r="BO97" s="12" t="str"/>
      <x:c r="BP97" s="12" t="str"/>
      <x:c r="BQ97" s="12" t="str"/>
    </x:row>
    <x:row r="98">
      <x:c r="A98" s="9" t="str">
        <x:v>3do-30</x:v>
      </x:c>
      <x:c r="B98" s="9" t="str">
        <x:v>snow-job</x:v>
      </x:c>
      <x:c r="C98" s="9" t="str">
        <x:v>3DO</x:v>
      </x:c>
      <x:c r="D98" s="9" t="str">
        <x:v>Snow Job</x:v>
      </x:c>
      <x:c r="E98" s="9" t="str">
        <x:v>Snow Job Starring Tracy Scoggins</x:v>
      </x:c>
      <x:c r="F98" s="9" t="str">
        <x:v>iXL Interactive Excellence</x:v>
      </x:c>
      <x:c r="G98" s="9" t="str">
        <x:v>Studio 3DO / The 3DO Company</x:v>
      </x:c>
      <x:c r="H98" s="9" t="n">
        <x:v>1996</x:v>
      </x:c>
      <x:c r="I98" s="9" t="str">
        <x:v>Yes</x:v>
      </x:c>
      <x:c r="J98" s="9" t="str">
        <x:v>No</x:v>
      </x:c>
      <x:c r="K98" s="9" t="str">
        <x:v>Yes</x:v>
      </x:c>
      <x:c r="L98" s="9" t="str">
        <x:v>No</x:v>
      </x:c>
      <x:c r="M98" s="9" t="str">
        <x:v>Interactive movie / mystery adventure</x:v>
      </x:c>
      <x:c r="N98" s="9" t="str">
        <x:v>Live-action + pre-rendered CG</x:v>
      </x:c>
      <x:c r="O98" s="9" t="n">
        <x:v>8</x:v>
      </x:c>
      <x:c r="P98" s="9" t="str">
        <x:v>Interactive movie</x:v>
      </x:c>
      <x:c r="Q98" s="9" t="str">
        <x:v>Released</x:v>
      </x:c>
      <x:c r="R98" s="9" t="str">
        <x:v>Original production (3DO exclusive)</x:v>
      </x:c>
      <x:c r="S98" s="9" t="str">
        <x:v>None (3DO exclusive)</x:v>
      </x:c>
      <x:c r="T98" s="9" t="str">
        <x:v>Tracy Scoggins</x:v>
      </x:c>
      <x:c r="U98" s="9" t="n">
        <x:v>2</x:v>
      </x:c>
      <x:c r="V98" s="9" t="str">
        <x:v>Yes</x:v>
      </x:c>
      <x:c r="W98" s="9" t="str">
        <x:v>Standard 3DO controller</x:v>
      </x:c>
      <x:c r="X98" s="9" t="str">
        <x:v>Low</x:v>
      </x:c>
      <x:c r="Y98" s="9" t="str"/>
      <x:c r="Z98" s="9" t="str">
        <x:v>3–5 hr</x:v>
      </x:c>
      <x:c r="AA98" s="9" t="str">
        <x:v>One of the very last 3DO releases: a mob-noir FMV mystery with Tracy Scoggins that sold so badly sealed copies now fetch four figures.</x:v>
      </x:c>
      <x:c r="AB98" s="9" t="str">
        <x:v>None known</x:v>
      </x:c>
      <x:c r="AC98" s="9" t="str">
        <x:v>Live-action video over 360-degree photorealistic pre-rendered environments, near full screen</x:v>
      </x:c>
      <x:c r="AD98" s="9" t="str">
        <x:v>Moderate; puzzles, conversations and mini-games</x:v>
      </x:c>
      <x:c r="AE98" s="9" t="str">
        <x:v>Single ending (verify)</x:v>
      </x:c>
      <x:c r="AF98" s="9" t="str">
        <x:v>Published by The 3DO Company itself at the very end of the platform's life in May 1996 and sold poorly, making it one of the rarer NA releases. GamePro compared Psychic Detective favourably to it.</x:v>
      </x:c>
      <x:c r="AG98" s="9" t="str">
        <x:v>NA Studio 3DO 2-disc long box; PAL release listed as 1996 — verify</x:v>
      </x:c>
      <x:c r="AH98" s="9" t="str">
        <x:v>No</x:v>
      </x:c>
      <x:c r="AI98" s="9" t="str">
        <x:v>Easy</x:v>
      </x:c>
      <x:c r="AJ98" s="9"/>
      <x:c r="AK98" s="9" t="str">
        <x:v>3DO NA May 15, 1996 per Wikipedia list; MobyGames critic 66% (3 ratings), player 3.4/5. Disc count from eBay/PriceCharting listings (2-disc set).</x:v>
      </x:c>
      <x:c r="AL98" s="10" t="n">
        <x:v>100</x:v>
      </x:c>
      <x:c r="AM98" s="10" t="n">
        <x:v>206.25</x:v>
      </x:c>
      <x:c r="AN98" s="10" t="n">
        <x:v>227.5</x:v>
      </x:c>
      <x:c r="AO98" s="9" t="str">
        <x:v>2026-10-20</x:v>
      </x:c>
      <x:c r="AP98" s="11" t="str">
        <x:f>HYPERLINK("https://www.pricecharting.com/search-products?q=Snow+Job+3do&amp;type=prices","PriceCharting")</x:f>
        <x:v>PriceCharting</x:v>
      </x:c>
      <x:c r="AQ98" s="9"/>
      <x:c r="AR98" s="9"/>
      <x:c r="AS98" s="9"/>
      <x:c r="AT98" s="9"/>
      <x:c r="AU98" s="9"/>
      <x:c r="AV98" s="9"/>
      <x:c r="AW98" s="9"/>
      <x:c r="AX98" s="9"/>
      <x:c r="AY98" s="9" t="str">
        <x:v>66%</x:v>
      </x:c>
      <x:c r="AZ98" s="9" t="str">
        <x:v>3.4</x:v>
      </x:c>
      <x:c r="BA98" s="11" t="str">
        <x:f>HYPERLINK("https://www.mobygames.com/game/37840/snow-job/","MobyGames")</x:f>
        <x:v>MobyGames</x:v>
      </x:c>
      <x:c r="BB98" s="9"/>
      <x:c r="BC98" s="9"/>
      <x:c r="BD98" s="9"/>
      <x:c r="BE98" s="9"/>
      <x:c r="BF98" s="11" t="str">
        <x:f>HYPERLINK("https://backloggd.com/search/games/Snow%20Job/","Backloggd")</x:f>
        <x:v>Backloggd</x:v>
      </x:c>
      <x:c r="BG98" s="9"/>
      <x:c r="BH98" s="9"/>
      <x:c r="BI98" s="12" t="str">
        <x:v>No</x:v>
      </x:c>
      <x:c r="BJ98" s="12" t="str"/>
      <x:c r="BK98" s="12" t="str">
        <x:v>No</x:v>
      </x:c>
      <x:c r="BL98" s="12" t="str"/>
      <x:c r="BM98" s="12" t="str"/>
      <x:c r="BN98" s="12" t="str"/>
      <x:c r="BO98" s="12" t="str"/>
      <x:c r="BP98" s="12" t="str"/>
      <x:c r="BQ98" s="12" t="str"/>
    </x:row>
    <x:row r="99">
      <x:c r="A99" s="9" t="str">
        <x:v>3do-31</x:v>
      </x:c>
      <x:c r="B99" s="9" t="str">
        <x:v>twisted-the-game-show</x:v>
      </x:c>
      <x:c r="C99" s="9" t="str">
        <x:v>3DO</x:v>
      </x:c>
      <x:c r="D99" s="9" t="str">
        <x:v>Twisted: The Game Show</x:v>
      </x:c>
      <x:c r="E99" s="9" t="str">
        <x:v>Twisted (JP: Twisted: The Game Show, EA Victor)</x:v>
      </x:c>
      <x:c r="F99" s="9" t="str">
        <x:v>Studio 3DO (The 3DO Company)</x:v>
      </x:c>
      <x:c r="G99" s="9" t="str">
        <x:v>Electronic Arts (NA/EU), Electronic Arts Victor (JP)</x:v>
      </x:c>
      <x:c r="H99" s="9" t="n">
        <x:v>1993</x:v>
      </x:c>
      <x:c r="I99" s="9" t="str">
        <x:v>Yes</x:v>
      </x:c>
      <x:c r="J99" s="9" t="str">
        <x:v>Yes</x:v>
      </x:c>
      <x:c r="K99" s="9" t="str">
        <x:v>Yes</x:v>
      </x:c>
      <x:c r="L99" s="9" t="str">
        <x:v>No</x:v>
      </x:c>
      <x:c r="M99" s="9" t="str">
        <x:v>Party / board-game game show</x:v>
      </x:c>
      <x:c r="N99" s="9" t="str">
        <x:v>Live-action</x:v>
      </x:c>
      <x:c r="O99" s="9" t="n">
        <x:v>6</x:v>
      </x:c>
      <x:c r="P99" s="9" t="str">
        <x:v>Game show / trivia</x:v>
      </x:c>
      <x:c r="Q99" s="9" t="str">
        <x:v>Released</x:v>
      </x:c>
      <x:c r="R99" s="9" t="str">
        <x:v>Original production (3DO launch-window title, directed/designed by Jim Eisenstein; produced by Stewart Bonn and Trip Hawkins)</x:v>
      </x:c>
      <x:c r="S99" s="9" t="str">
        <x:v>3DO exclusive</x:v>
      </x:c>
      <x:c r="T99" s="9" t="str">
        <x:v>Tohoru Masamune (Johnny Pow; later Shredder in 2014 TMNT); other actors play Humble Howard, Major Steel, Madame Elaine, Wormington, host Twink Fizzdale and assistant Hannah; Uncle Fez is CGI</x:v>
      </x:c>
      <x:c r="U99" s="9" t="n">
        <x:v>1</x:v>
      </x:c>
      <x:c r="V99" s="9" t="str">
        <x:v>Unknown — verify</x:v>
      </x:c>
      <x:c r="W99" s="9" t="str">
        <x:v>Standard 3DO controller; up to 4 players via daisy-chained pads</x:v>
      </x:c>
      <x:c r="X99" s="9" t="str">
        <x:v>Low–Med</x:v>
      </x:c>
      <x:c r="Y99" s="9" t="str">
        <x:v>Public-domain/stock footage (nuclear test clips, old films) in Zapper and Mystery Matinee minigames; original music by Ed Bogas/Gary Clayton/Joe Buzcek</x:v>
      </x:c>
      <x:c r="Z99" s="9" t="str">
        <x:v>45–75 min per match</x:v>
      </x:c>
      <x:c r="AA99" s="9" t="str">
        <x:v>A 3DO launch-era parody game show where six daytime-TV stereotypes race up a 90-space helix while unskippable fake commercials play — it is the 3DO's house style distilled.</x:v>
      </x:c>
      <x:c r="AB99" s="9" t="str">
        <x:v>None known</x:v>
      </x:c>
      <x:c r="AC99" s="9" t="str">
        <x:v>Partial-screen live-action windows over computer-drawn sets, roughly 15 fps Cinepak-era quality; some minigame clips are black-and-white</x:v>
      </x:c>
      <x:c r="AD99" s="9" t="str">
        <x:v>Low; trivia has three selectable difficulty levels or can be turned off</x:v>
      </x:c>
      <x:c r="AE99" s="9" t="str">
        <x:v>No story; the first player to the top of the helix wins</x:v>
      </x:c>
      <x:c r="AF99" s="9" t="str">
        <x:v>Sequel Zhadnost: The People's Party followed in 1995 from the same director. EGM scored it 8.2/10 and Entertainment Weekly gave an A-; JP release came 23 Dec 1994.</x:v>
      </x:c>
      <x:c r="AG99" s="9" t="str">
        <x:v>NA long-box (1993/1994 reprints), EA Victor JP release, PAL EA release</x:v>
      </x:c>
      <x:c r="AH99" s="9" t="str">
        <x:v>No</x:v>
      </x:c>
      <x:c r="AI99" s="9" t="str">
        <x:v>Easy</x:v>
      </x:c>
      <x:c r="AJ99" s="9"/>
      <x:c r="AK99" s="9" t="str">
        <x:v>NA date variously listed as late 1993 or 15 Apr 1994 (Wikipedia list). JP publisher EA Victor. Non-active players must watch everyone else's clips, so matches drag.</x:v>
      </x:c>
      <x:c r="AL99" s="10" t="n">
        <x:v>15</x:v>
      </x:c>
      <x:c r="AM99" s="10" t="n">
        <x:v>23.88</x:v>
      </x:c>
      <x:c r="AN99" s="10" t="n">
        <x:v>36.48</x:v>
      </x:c>
      <x:c r="AO99" s="9" t="str">
        <x:v>2026-10-20</x:v>
      </x:c>
      <x:c r="AP99" s="11" t="str">
        <x:f>HYPERLINK("https://www.pricecharting.com/search-products?q=Twisted%3A+The+Game+Show+3do&amp;type=prices","PriceCharting")</x:f>
        <x:v>PriceCharting</x:v>
      </x:c>
      <x:c r="AQ99" s="9"/>
      <x:c r="AR99" s="9"/>
      <x:c r="AS99" s="9"/>
      <x:c r="AT99" s="9"/>
      <x:c r="AU99" s="9"/>
      <x:c r="AV99" s="9"/>
      <x:c r="AW99" s="9"/>
      <x:c r="AX99" s="9"/>
      <x:c r="AY99" s="9" t="str">
        <x:v>79%</x:v>
      </x:c>
      <x:c r="AZ99" s="9" t="str">
        <x:v>3.8</x:v>
      </x:c>
      <x:c r="BA99" s="11" t="str">
        <x:f>HYPERLINK("https://www.mobygames.com/game/3do/twisted-the-game-show","MobyGames")</x:f>
        <x:v>MobyGames</x:v>
      </x:c>
      <x:c r="BB99" s="9"/>
      <x:c r="BC99" s="9"/>
      <x:c r="BD99" s="9"/>
      <x:c r="BE99" s="11" t="str">
        <x:f>HYPERLINK("https://en.wikipedia.org/wiki/Twisted:_The_Game_Show","Wikipedia")</x:f>
        <x:v>Wikipedia</x:v>
      </x:c>
      <x:c r="BF99" s="11" t="str">
        <x:f>HYPERLINK("https://backloggd.com/search/games/Twisted%3A%20The%20Game%20Show/","Backloggd")</x:f>
        <x:v>Backloggd</x:v>
      </x:c>
      <x:c r="BG99" s="9"/>
      <x:c r="BH99" s="9"/>
      <x:c r="BI99" s="12" t="str">
        <x:v>No</x:v>
      </x:c>
      <x:c r="BJ99" s="12" t="str"/>
      <x:c r="BK99" s="12" t="str">
        <x:v>No</x:v>
      </x:c>
      <x:c r="BL99" s="12" t="str"/>
      <x:c r="BM99" s="12" t="str"/>
      <x:c r="BN99" s="12" t="str"/>
      <x:c r="BO99" s="12" t="str"/>
      <x:c r="BP99" s="12" t="str"/>
      <x:c r="BQ99" s="12" t="str"/>
    </x:row>
    <x:row r="100">
      <x:c r="A100" s="9" t="str">
        <x:v>3do-32</x:v>
      </x:c>
      <x:c r="B100" s="9" t="str">
        <x:v>zhadnost-the-peoples-party</x:v>
      </x:c>
      <x:c r="C100" s="9" t="str">
        <x:v>3DO</x:v>
      </x:c>
      <x:c r="D100" s="9" t="str">
        <x:v>Zhadnost: The People's Party</x:v>
      </x:c>
      <x:c r="E100" s="9" t="str">
        <x:v>The All New People's Game Show (working title)</x:v>
      </x:c>
      <x:c r="F100" s="9" t="str">
        <x:v>Studio 3DO</x:v>
      </x:c>
      <x:c r="G100" s="9" t="str">
        <x:v>The 3DO Company (NA/EU)</x:v>
      </x:c>
      <x:c r="H100" s="9" t="n">
        <x:v>1995</x:v>
      </x:c>
      <x:c r="I100" s="9" t="str">
        <x:v>Yes</x:v>
      </x:c>
      <x:c r="J100" s="9" t="str">
        <x:v>No</x:v>
      </x:c>
      <x:c r="K100" s="9" t="str">
        <x:v>Yes</x:v>
      </x:c>
      <x:c r="L100" s="9" t="str">
        <x:v>No</x:v>
      </x:c>
      <x:c r="M100" s="9" t="str">
        <x:v>Party / game show</x:v>
      </x:c>
      <x:c r="N100" s="9" t="str">
        <x:v>Live-action</x:v>
      </x:c>
      <x:c r="O100" s="9" t="n">
        <x:v>6</x:v>
      </x:c>
      <x:c r="P100" s="9" t="str">
        <x:v>Game show / trivia</x:v>
      </x:c>
      <x:c r="Q100" s="9" t="str">
        <x:v>Released</x:v>
      </x:c>
      <x:c r="R100" s="9" t="str">
        <x:v>Original production; sequel to Twisted, again designed and directed by Jim Eisenstein</x:v>
      </x:c>
      <x:c r="S100" s="9" t="str">
        <x:v>3DO exclusive</x:v>
      </x:c>
      <x:c r="T100" s="9" t="str">
        <x:v>Live-action cast as the Soviet-parody host and contestants (names not widely documented — verify); CG art direction by Kurt Kaufman</x:v>
      </x:c>
      <x:c r="U100" s="9" t="n">
        <x:v>1</x:v>
      </x:c>
      <x:c r="V100" s="9" t="str">
        <x:v>Unknown — verify</x:v>
      </x:c>
      <x:c r="W100" s="9" t="str">
        <x:v>Standard 3DO controller; multiplayer via daisy-chained pads</x:v>
      </x:c>
      <x:c r="X100" s="9" t="str">
        <x:v>Low</x:v>
      </x:c>
      <x:c r="Y100" s="9" t="str">
        <x:v>Original soundtrack by George 'The Fat Man' Sanger (released on his album Surf.com) — unlikely to be claimed</x:v>
      </x:c>
      <x:c r="Z100" s="9" t="str">
        <x:v>30–60 min per session</x:v>
      </x:c>
      <x:c r="AA100" s="9" t="str">
        <x:v>A Soviet-themed game show parody ('Zhadnost' means greed) with a Fat Man soundtrack — one of the strangest things 3DO ever published in-house.</x:v>
      </x:c>
      <x:c r="AB100" s="9" t="str">
        <x:v>None known</x:v>
      </x:c>
      <x:c r="AC100" s="9" t="str">
        <x:v>Live-action contestants composited into CG sets, partial-screen windows, ~15 fps</x:v>
      </x:c>
      <x:c r="AD100" s="9" t="str">
        <x:v>Low; simple contests, wears thin quickly per Next Generation</x:v>
      </x:c>
      <x:c r="AE100" s="9" t="str">
        <x:v>No story; highest score wins</x:v>
      </x:c>
      <x:c r="AF100" s="9" t="str">
        <x:v>Announced in early 1995 as The All New People's Game Show. One of the few 3DO exclusives with a commercial soundtrack release (Sanger's Surf.com). Edge gave it 3/10 while GamePro gave 17.5/20.</x:v>
      </x:c>
      <x:c r="AG100" s="9" t="str">
        <x:v>NA release (2 Mar 1995), PAL release 1995</x:v>
      </x:c>
      <x:c r="AH100" s="9" t="str">
        <x:v>No</x:v>
      </x:c>
      <x:c r="AI100" s="9" t="str">
        <x:v>Easy</x:v>
      </x:c>
      <x:c r="AJ100" s="9"/>
      <x:c r="AK100" s="9" t="str">
        <x:v>Kaufman called it 'somewhat experimental' for a period when 3DO focused on fighting/shooting/sports.</x:v>
      </x:c>
      <x:c r="AL100" s="10" t="n">
        <x:v>24.99</x:v>
      </x:c>
      <x:c r="AM100" s="10" t="n">
        <x:v>128.57</x:v>
      </x:c>
      <x:c r="AN100" s="10" t="n">
        <x:v>257</x:v>
      </x:c>
      <x:c r="AO100" s="9" t="str">
        <x:v>2026-10-20</x:v>
      </x:c>
      <x:c r="AP100" s="11" t="str">
        <x:f>HYPERLINK("https://www.pricecharting.com/search-products?q=Zhadnost%3A+The+People%27s+Party+3do&amp;type=prices","PriceCharting")</x:f>
        <x:v>PriceCharting</x:v>
      </x:c>
      <x:c r="AQ100" s="9"/>
      <x:c r="AR100" s="9"/>
      <x:c r="AS100" s="9"/>
      <x:c r="AT100" s="9"/>
      <x:c r="AU100" s="9"/>
      <x:c r="AV100" s="9"/>
      <x:c r="AW100" s="9"/>
      <x:c r="AX100" s="9"/>
      <x:c r="AY100" s="9" t="str">
        <x:v>74%</x:v>
      </x:c>
      <x:c r="AZ100" s="9"/>
      <x:c r="BA100" s="11" t="str">
        <x:f>HYPERLINK("https://www.mobygames.com/game/3do/zhadnost-the-peoples-party","MobyGames")</x:f>
        <x:v>MobyGames</x:v>
      </x:c>
      <x:c r="BB100" s="9"/>
      <x:c r="BC100" s="9"/>
      <x:c r="BD100" s="9"/>
      <x:c r="BE100" s="11" t="str">
        <x:f>HYPERLINK("https://en.wikipedia.org/wiki/Zhadnost:_The_People%27s_Party","Wikipedia")</x:f>
        <x:v>Wikipedia</x:v>
      </x:c>
      <x:c r="BF100" s="11" t="str">
        <x:f>HYPERLINK("https://backloggd.com/search/games/Zhadnost%3A%20The%20People%27s%20Party/","Backloggd")</x:f>
        <x:v>Backloggd</x:v>
      </x:c>
      <x:c r="BG100" s="9"/>
      <x:c r="BH100" s="9"/>
      <x:c r="BI100" s="12" t="str">
        <x:v>No</x:v>
      </x:c>
      <x:c r="BJ100" s="12" t="str"/>
      <x:c r="BK100" s="12" t="str">
        <x:v>No</x:v>
      </x:c>
      <x:c r="BL100" s="12" t="str"/>
      <x:c r="BM100" s="12" t="str"/>
      <x:c r="BN100" s="12" t="str"/>
      <x:c r="BO100" s="12" t="str"/>
      <x:c r="BP100" s="12" t="str"/>
      <x:c r="BQ100" s="12" t="str"/>
    </x:row>
    <x:row r="101">
      <x:c r="A101" s="9" t="str">
        <x:v>3do-33</x:v>
      </x:c>
      <x:c r="B101" s="9" t="str">
        <x:v>family-feud</x:v>
      </x:c>
      <x:c r="C101" s="9" t="str">
        <x:v>3DO</x:v>
      </x:c>
      <x:c r="D101" s="9" t="str">
        <x:v>Family Feud</x:v>
      </x:c>
      <x:c r="E101" s="9" t="str"/>
      <x:c r="F101" s="9" t="str">
        <x:v>Eurocom</x:v>
      </x:c>
      <x:c r="G101" s="9" t="str">
        <x:v>GameTek (NA)</x:v>
      </x:c>
      <x:c r="H101" s="9" t="n">
        <x:v>1994</x:v>
      </x:c>
      <x:c r="I101" s="9" t="str">
        <x:v>Yes</x:v>
      </x:c>
      <x:c r="J101" s="9" t="str">
        <x:v>No</x:v>
      </x:c>
      <x:c r="K101" s="9" t="str">
        <x:v>No</x:v>
      </x:c>
      <x:c r="L101" s="9" t="str">
        <x:v>No</x:v>
      </x:c>
      <x:c r="M101" s="9" t="str">
        <x:v>Game show / trivia</x:v>
      </x:c>
      <x:c r="N101" s="9" t="str">
        <x:v>Live-action</x:v>
      </x:c>
      <x:c r="O101" s="9" t="n">
        <x:v>3</x:v>
      </x:c>
      <x:c r="P101" s="9" t="str">
        <x:v>Game show / trivia</x:v>
      </x:c>
      <x:c r="Q101" s="9" t="str">
        <x:v>Released</x:v>
      </x:c>
      <x:c r="R101" s="9" t="str">
        <x:v>TV game show license (Family Feud)</x:v>
      </x:c>
      <x:c r="S101" s="9" t="str">
        <x:v>Separate GameTek versions on SNES, Genesis, PC and others (different code)</x:v>
      </x:c>
      <x:c r="T101" s="9" t="str">
        <x:v>Wal Foster appears in digitized footage as the Richard Dawson-lookalike host; Ron Beuhrer provides host voice-over</x:v>
      </x:c>
      <x:c r="U101" s="9" t="n">
        <x:v>1</x:v>
      </x:c>
      <x:c r="V101" s="9" t="str">
        <x:v>Unknown — verify</x:v>
      </x:c>
      <x:c r="W101" s="9" t="str">
        <x:v>Standard 3DO controller</x:v>
      </x:c>
      <x:c r="X101" s="9" t="str">
        <x:v>Med</x:v>
      </x:c>
      <x:c r="Y101" s="9" t="str">
        <x:v>Family Feud theme music and licensed show presentation (Fremantle/Sony owns the format and theme)</x:v>
      </x:c>
      <x:c r="Z101" s="9" t="str">
        <x:v>20–30 min per game</x:v>
      </x:c>
      <x:c r="AA101" s="9" t="str">
        <x:v>The first Family Feud with a voiced, digitized host — a lookalike playing Richard Dawson on a console nobody bought.</x:v>
      </x:c>
      <x:c r="AB101" s="9" t="str">
        <x:v>None known (TCRF lists unused early set graphics and an unused theme variant, no debug mode)</x:v>
      </x:c>
      <x:c r="AC101" s="9" t="str">
        <x:v>Small digitized host clips over a drawn set, low frame rate</x:v>
      </x:c>
      <x:c r="AD101" s="9" t="str">
        <x:v>Low; survey guessing</x:v>
      </x:c>
      <x:c r="AE101" s="9" t="str">
        <x:v>No story; win or lose the Fast Money round</x:v>
      </x:c>
      <x:c r="AF101" s="9" t="str">
        <x:v>First Feud game with a voiced host and one of the few to include the Bullseye round. Next Generation gave it 3/5, saying enjoyment depends on liking the TV show.</x:v>
      </x:c>
      <x:c r="AG101" s="9" t="str">
        <x:v>NA long-box, 6 May 1994</x:v>
      </x:c>
      <x:c r="AH101" s="9" t="str">
        <x:v>No</x:v>
      </x:c>
      <x:c r="AI101" s="9" t="str">
        <x:v>Easy</x:v>
      </x:c>
      <x:c r="AJ101" s="9"/>
      <x:c r="AK101" s="9" t="str">
        <x:v>Wikipedia list gives 1993/1994; TCRF gives 6 May 1994. Developer Eurocom per TCRF/Wikipedia list.</x:v>
      </x:c>
      <x:c r="AL101" s="10" t="n">
        <x:v>11.99</x:v>
      </x:c>
      <x:c r="AM101" s="10" t="n">
        <x:v>39.99</x:v>
      </x:c>
      <x:c r="AN101" s="10" t="n">
        <x:v>80</x:v>
      </x:c>
      <x:c r="AO101" s="9" t="str">
        <x:v>2026-10-20</x:v>
      </x:c>
      <x:c r="AP101" s="11" t="str">
        <x:f>HYPERLINK("https://www.pricecharting.com/search-products?q=Family+Feud+3do&amp;type=prices","PriceCharting")</x:f>
        <x:v>PriceCharting</x:v>
      </x:c>
      <x:c r="AQ101" s="9"/>
      <x:c r="AR101" s="9"/>
      <x:c r="AS101" s="9"/>
      <x:c r="AT101" s="9"/>
      <x:c r="AU101" s="9"/>
      <x:c r="AV101" s="9"/>
      <x:c r="AW101" s="9"/>
      <x:c r="AX101" s="9"/>
      <x:c r="AY101" s="9" t="str">
        <x:v>69%</x:v>
      </x:c>
      <x:c r="AZ101" s="9" t="str">
        <x:v>4.2</x:v>
      </x:c>
      <x:c r="BA101" s="11" t="str">
        <x:f>HYPERLINK("https://www.mobygames.com/game/3do/family-feud___","MobyGames")</x:f>
        <x:v>MobyGames</x:v>
      </x:c>
      <x:c r="BB101" s="9"/>
      <x:c r="BC101" s="9"/>
      <x:c r="BD101" s="9"/>
      <x:c r="BE101" s="11" t="str">
        <x:f>HYPERLINK("https://en.wikipedia.org/wiki/Family_Feud_(video_game_series)","Wikipedia")</x:f>
        <x:v>Wikipedia</x:v>
      </x:c>
      <x:c r="BF101" s="11" t="str">
        <x:f>HYPERLINK("https://backloggd.com/search/games/Family%20Feud/","Backloggd")</x:f>
        <x:v>Backloggd</x:v>
      </x:c>
      <x:c r="BG101" s="9"/>
      <x:c r="BH101" s="9"/>
      <x:c r="BI101" s="12" t="str">
        <x:v>No</x:v>
      </x:c>
      <x:c r="BJ101" s="12" t="str"/>
      <x:c r="BK101" s="12" t="str">
        <x:v>No</x:v>
      </x:c>
      <x:c r="BL101" s="12" t="str"/>
      <x:c r="BM101" s="12" t="str"/>
      <x:c r="BN101" s="12" t="str"/>
      <x:c r="BO101" s="12" t="str"/>
      <x:c r="BP101" s="12" t="str"/>
      <x:c r="BQ101" s="12" t="str"/>
    </x:row>
    <x:row r="102">
      <x:c r="A102" s="9" t="str">
        <x:v>3do-34</x:v>
      </x:c>
      <x:c r="B102" s="9" t="str">
        <x:v>dennis-miller-thats-news-to-me</x:v>
      </x:c>
      <x:c r="C102" s="9" t="str">
        <x:v>3DO</x:v>
      </x:c>
      <x:c r="D102" s="9" t="str">
        <x:v>Dennis Miller: That's News to Me</x:v>
      </x:c>
      <x:c r="E102" s="9" t="str">
        <x:v>Dennis Miller's That's News To Me (I-Laugh series)</x:v>
      </x:c>
      <x:c r="F102" s="9" t="str">
        <x:v>Sanctuary Woods</x:v>
      </x:c>
      <x:c r="G102" s="9" t="str">
        <x:v>Sanctuary Woods Multimedia (NA)</x:v>
      </x:c>
      <x:c r="H102" s="9" t="n">
        <x:v>1994</x:v>
      </x:c>
      <x:c r="I102" s="9" t="str">
        <x:v>Yes</x:v>
      </x:c>
      <x:c r="J102" s="9" t="str">
        <x:v>No</x:v>
      </x:c>
      <x:c r="K102" s="9" t="str">
        <x:v>No</x:v>
      </x:c>
      <x:c r="L102" s="9" t="str">
        <x:v>No</x:v>
      </x:c>
      <x:c r="M102" s="9" t="str">
        <x:v>Comedy / non-game multimedia</x:v>
      </x:c>
      <x:c r="N102" s="9" t="str">
        <x:v>Live-action</x:v>
      </x:c>
      <x:c r="O102" s="9" t="n">
        <x:v>10</x:v>
      </x:c>
      <x:c r="P102" s="9" t="str">
        <x:v>Interactive movie</x:v>
      </x:c>
      <x:c r="Q102" s="9" t="str">
        <x:v>Released</x:v>
      </x:c>
      <x:c r="R102" s="9" t="str">
        <x:v>Original production — stand-up/news-desk monologues by comedian Dennis Miller, part of Sanctuary Woods' I-Laugh line</x:v>
      </x:c>
      <x:c r="S102" s="9" t="str">
        <x:v>Windows/Mac CD-ROM (1994)</x:v>
      </x:c>
      <x:c r="T102" s="9" t="str">
        <x:v>Dennis Miller</x:v>
      </x:c>
      <x:c r="U102" s="9" t="n">
        <x:v>1</x:v>
      </x:c>
      <x:c r="V102" s="9" t="str">
        <x:v>No</x:v>
      </x:c>
      <x:c r="W102" s="9" t="str">
        <x:v>Standard 3DO controller</x:v>
      </x:c>
      <x:c r="X102" s="9" t="str">
        <x:v>Med</x:v>
      </x:c>
      <x:c r="Y102" s="9" t="str">
        <x:v>Dennis Miller's comedy material is copyrighted performance content; possible claim by rights holders of the recorded routines</x:v>
      </x:c>
      <x:c r="Z102" s="9" t="str">
        <x:v>1–2 hr of clips; no 'completion'</x:v>
      </x:c>
      <x:c r="AA102" s="9" t="str">
        <x:v>Not a game at all: a disc of Dennis Miller riffing on 1994 headlines, sorted by category — the 3DO as a comedy jukebox.</x:v>
      </x:c>
      <x:c r="AB102" s="9" t="str">
        <x:v>None known</x:v>
      </x:c>
      <x:c r="AC102" s="9" t="str">
        <x:v>Windowed live-action clips, roughly 15 fps; jokes sometimes cut off awkwardly</x:v>
      </x:c>
      <x:c r="AD102" s="9" t="str">
        <x:v>N/A — pick a category and watch</x:v>
      </x:c>
      <x:c r="AE102" s="9" t="str">
        <x:v>None; shuffle/category playback only</x:v>
      </x:c>
      <x:c r="AF102" s="9" t="str">
        <x:v>Wikipedia's 3DO list files it in the non-game table with a 31 Dec 1994 date. The Video Game Critic gave it an F, noting many jokes are dated and fall flat without an audience.</x:v>
      </x:c>
      <x:c r="AG102" s="9" t="str">
        <x:v>NA jewel/long-box; Digital Game Museum holds the box (2012.013.079)</x:v>
      </x:c>
      <x:c r="AH102" s="9" t="str">
        <x:v>No</x:v>
      </x:c>
      <x:c r="AI102" s="9" t="str">
        <x:v>Easy</x:v>
      </x:c>
      <x:c r="AJ102" s="9"/>
      <x:c r="AK102" s="9" t="str">
        <x:v>Companion title Dennis Miller: Geek to Me was PC-only. Exact NA release date uncertain.</x:v>
      </x:c>
      <x:c r="AL102" s="10" t="n">
        <x:v>19.99</x:v>
      </x:c>
      <x:c r="AM102" s="10" t="n">
        <x:v>31.59</x:v>
      </x:c>
      <x:c r="AN102" s="10" t="n">
        <x:v>124.59</x:v>
      </x:c>
      <x:c r="AO102" s="9" t="str">
        <x:v>2026-10-20</x:v>
      </x:c>
      <x:c r="AP102" s="11" t="str">
        <x:f>HYPERLINK("https://www.pricecharting.com/search-products?q=Dennis+Miller%3A+That%27s+News+to+Me+3do&amp;type=prices","PriceCharting")</x:f>
        <x:v>PriceCharting</x:v>
      </x:c>
      <x:c r="AQ102" s="9"/>
      <x:c r="AR102" s="9"/>
      <x:c r="AS102" s="9"/>
      <x:c r="AT102" s="9"/>
      <x:c r="AU102" s="9"/>
      <x:c r="AV102" s="9"/>
      <x:c r="AW102" s="9"/>
      <x:c r="AX102" s="9"/>
      <x:c r="AY102" s="9"/>
      <x:c r="AZ102" s="9"/>
      <x:c r="BA102" s="11" t="str">
        <x:f>HYPERLINK("https://www.mobygames.com/search/?q=Dennis+Miller%3A+That%27s+News+to+Me","MobyGames")</x:f>
        <x:v>MobyGames</x:v>
      </x:c>
      <x:c r="BB102" s="9"/>
      <x:c r="BC102" s="9"/>
      <x:c r="BD102" s="9"/>
      <x:c r="BE102" s="9"/>
      <x:c r="BF102" s="11" t="str">
        <x:f>HYPERLINK("https://backloggd.com/search/games/Dennis%20Miller%3A%20That%27s%20News%20to%20Me/","Backloggd")</x:f>
        <x:v>Backloggd</x:v>
      </x:c>
      <x:c r="BG102" s="9"/>
      <x:c r="BH102" s="9"/>
      <x:c r="BI102" s="12" t="str">
        <x:v>No</x:v>
      </x:c>
      <x:c r="BJ102" s="12" t="str"/>
      <x:c r="BK102" s="12" t="str">
        <x:v>No</x:v>
      </x:c>
      <x:c r="BL102" s="12" t="str"/>
      <x:c r="BM102" s="12" t="str"/>
      <x:c r="BN102" s="12" t="str"/>
      <x:c r="BO102" s="12" t="str"/>
      <x:c r="BP102" s="12" t="str"/>
      <x:c r="BQ102" s="12" t="str"/>
    </x:row>
    <x:row r="103">
      <x:c r="A103" s="9" t="str">
        <x:v>3do-35</x:v>
      </x:c>
      <x:c r="B103" s="9" t="str">
        <x:v>plumbers-dont-wear-ties</x:v>
      </x:c>
      <x:c r="C103" s="9" t="str">
        <x:v>3DO</x:v>
      </x:c>
      <x:c r="D103" s="9" t="str">
        <x:v>Plumbers Don't Wear Ties</x:v>
      </x:c>
      <x:c r="E103" s="9" t="str"/>
      <x:c r="F103" s="9" t="str">
        <x:v>United Pixtures</x:v>
      </x:c>
      <x:c r="G103" s="9" t="str">
        <x:v>Kirin Entertainment (NA, 3DO)</x:v>
      </x:c>
      <x:c r="H103" s="9" t="n">
        <x:v>1994</x:v>
      </x:c>
      <x:c r="I103" s="9" t="str">
        <x:v>Yes</x:v>
      </x:c>
      <x:c r="J103" s="9" t="str">
        <x:v>No</x:v>
      </x:c>
      <x:c r="K103" s="9" t="str">
        <x:v>No</x:v>
      </x:c>
      <x:c r="L103" s="9" t="str">
        <x:v>No</x:v>
      </x:c>
      <x:c r="M103" s="9" t="str">
        <x:v>Adult romantic comedy / choose-your-path</x:v>
      </x:c>
      <x:c r="N103" s="9" t="str">
        <x:v>Live-action</x:v>
      </x:c>
      <x:c r="O103" s="9" t="n">
        <x:v>1</x:v>
      </x:c>
      <x:c r="P103" s="9" t="str">
        <x:v>Interactive movie</x:v>
      </x:c>
      <x:c r="Q103" s="9" t="str">
        <x:v>Released</x:v>
      </x:c>
      <x:c r="R103" s="9" t="str">
        <x:v>Original production (writer/director/producer Michael Anderson); tiny 1993 Windows release preceded 3DO</x:v>
      </x:c>
      <x:c r="S103" s="9" t="str">
        <x:v>Windows (1993, very limited); PS4/PS5/Switch/Xbox/PC re-release (Limited Run Games, 2024); ScummVM</x:v>
      </x:c>
      <x:c r="T103" s="9" t="str">
        <x:v>Edward J. Foster (John), Jeanne Basone (Jane; ex-GLOW wrestler 'Hollywood'), Paul Bokor (Thresher), Michael Anderson (narrator/Harry Armis), Thyra Metz (narrator Wilma)</x:v>
      </x:c>
      <x:c r="U103" s="9" t="n">
        <x:v>1</x:v>
      </x:c>
      <x:c r="V103" s="9" t="str">
        <x:v>No</x:v>
      </x:c>
      <x:c r="W103" s="9" t="str">
        <x:v>Standard 3DO controller; 3DO mouse supported</x:v>
      </x:c>
      <x:c r="X103" s="9" t="str">
        <x:v>Low</x:v>
      </x:c>
      <x:c r="Y103" s="9" t="str">
        <x:v>Original score by Martin Golnick; no licensed material</x:v>
      </x:c>
      <x:c r="Z103" s="9" t="str">
        <x:v>30–45 min</x:v>
      </x:c>
      <x:c r="AA103" s="9" t="str">
        <x:v>Advertised as full-motion video but delivered as a slideshow with two bickering narrators — routinely called the worst game ever made, and now a cult object with a 2024 remaster.</x:v>
      </x:c>
      <x:c r="AB103" s="9" t="str">
        <x:v>Special mode: while the girl is talking at the start, press Up, Down, Right, Left, Down, Right, X. (GameFAQs) Whether this is the uncensored mode isn't stated.</x:v>
      </x:c>
      <x:c r="AC103" s="9" t="str">
        <x:v>Primarily a narrated still-photo slideshow; the 3DO edition has a filmed introduction. Not mostly full-motion video.</x:v>
      </x:c>
      <x:c r="AD103" s="9" t="str">
        <x:v>Trivial; wrong picks just trigger narrator abuse and a retry</x:v>
      </x:c>
      <x:c r="AE103" s="9" t="str">
        <x:v>Branching with several fail endings (Jane with Thresher, Jane as prostitute, Jane as nun) plus the 'good' dinner ending</x:v>
      </x:c>
      <x:c r="AF103" s="9" t="str">
        <x:v>PC version was thought lost until a copy surfaced at Ball State University in 2017. EGM named it 4th worst console game ever (1997); AVGN covered it in 2009.</x:v>
      </x:c>
      <x:c r="AG103" s="9" t="str">
        <x:v>NA 3DO long-box (30 Sep 1994); Limited Run physical editions and a novelization by Mike Drucker (2024)</x:v>
      </x:c>
      <x:c r="AH103" s="9" t="str">
        <x:v>No (3DO); Definitive Edition sold on GOG, PS4/PS5, Switch and Xbox</x:v>
      </x:c>
      <x:c r="AI103" s="9" t="str">
        <x:v>Easy</x:v>
      </x:c>
      <x:c r="AJ103" s="9"/>
      <x:c r="AK103" s="9" t="str">
        <x:v>Retained as a culturally relevant adjacent title in the broad index; excluded from the strict FMV audit because gameplay uses still photographs. Definitive Edition is sold on GOG and modern consoles.</x:v>
      </x:c>
      <x:c r="AL103" s="10" t="n">
        <x:v>89.4</x:v>
      </x:c>
      <x:c r="AM103" s="10" t="n">
        <x:v>363.39</x:v>
      </x:c>
      <x:c r="AN103" s="10" t="n">
        <x:v>727</x:v>
      </x:c>
      <x:c r="AO103" s="9" t="str">
        <x:v>2026-10-20</x:v>
      </x:c>
      <x:c r="AP103" s="11" t="str">
        <x:f>HYPERLINK("https://www.pricecharting.com/search-products?q=Plumbers+Don%27t+Wear+Ties+3do&amp;type=prices","PriceCharting")</x:f>
        <x:v>PriceCharting</x:v>
      </x:c>
      <x:c r="AQ103" s="9"/>
      <x:c r="AR103" s="9"/>
      <x:c r="AS103" s="9"/>
      <x:c r="AT103" s="9"/>
      <x:c r="AU103" s="9"/>
      <x:c r="AV103" s="9"/>
      <x:c r="AW103" s="9"/>
      <x:c r="AX103" s="9"/>
      <x:c r="AY103" s="9" t="str">
        <x:v>12%</x:v>
      </x:c>
      <x:c r="AZ103" s="9" t="str">
        <x:v>1.0</x:v>
      </x:c>
      <x:c r="BA103" s="11" t="str">
        <x:f>HYPERLINK("https://www.mobygames.com/game/3do/plumbers-dont-wear-ties","MobyGames")</x:f>
        <x:v>MobyGames</x:v>
      </x:c>
      <x:c r="BB103" s="9"/>
      <x:c r="BC103" s="9"/>
      <x:c r="BD103" s="9"/>
      <x:c r="BE103" s="11" t="str">
        <x:f>HYPERLINK("https://en.wikipedia.org/wiki/Plumbers_Don%27t_Wear_Ties","Wikipedia")</x:f>
        <x:v>Wikipedia</x:v>
      </x:c>
      <x:c r="BF103" s="11" t="str">
        <x:f>HYPERLINK("https://backloggd.com/search/games/Plumbers%20Don%27t%20Wear%20Ties/","Backloggd")</x:f>
        <x:v>Backloggd</x:v>
      </x:c>
      <x:c r="BG103" s="9"/>
      <x:c r="BH103" s="9"/>
      <x:c r="BI103" s="12" t="str">
        <x:v>No</x:v>
      </x:c>
      <x:c r="BJ103" s="12" t="str"/>
      <x:c r="BK103" s="12" t="str">
        <x:v>No</x:v>
      </x:c>
      <x:c r="BL103" s="12" t="str"/>
      <x:c r="BM103" s="12" t="str"/>
      <x:c r="BN103" s="12" t="str"/>
      <x:c r="BO103" s="12" t="str"/>
      <x:c r="BP103" s="12" t="str"/>
      <x:c r="BQ103" s="12" t="str"/>
    </x:row>
    <x:row r="104">
      <x:c r="A104" s="9" t="str">
        <x:v>3do-36</x:v>
      </x:c>
      <x:c r="B104" s="9" t="str">
        <x:v>station-invasion</x:v>
      </x:c>
      <x:c r="C104" s="9" t="str">
        <x:v>3DO</x:v>
      </x:c>
      <x:c r="D104" s="9" t="str">
        <x:v>Station Invasion</x:v>
      </x:c>
      <x:c r="E104" s="9" t="str">
        <x:v>Club 3DO: Station Invasion</x:v>
      </x:c>
      <x:c r="F104" s="9" t="str">
        <x:v>Studio 3DO (dir. Ed Rotberg)</x:v>
      </x:c>
      <x:c r="G104" s="9" t="str">
        <x:v>The 3DO Company / Studio 3DO (NA/EU)</x:v>
      </x:c>
      <x:c r="H104" s="9" t="n">
        <x:v>1994</x:v>
      </x:c>
      <x:c r="I104" s="9" t="str">
        <x:v>Yes</x:v>
      </x:c>
      <x:c r="J104" s="9" t="str">
        <x:v>No</x:v>
      </x:c>
      <x:c r="K104" s="9" t="str">
        <x:v>Yes</x:v>
      </x:c>
      <x:c r="L104" s="9" t="str">
        <x:v>No</x:v>
      </x:c>
      <x:c r="M104" s="9" t="str">
        <x:v>Edutainment party / minigame game show</x:v>
      </x:c>
      <x:c r="N104" s="9" t="str">
        <x:v>Live-action + CG</x:v>
      </x:c>
      <x:c r="O104" s="9" t="n">
        <x:v>5</x:v>
      </x:c>
      <x:c r="P104" s="9" t="str">
        <x:v>Game show / trivia</x:v>
      </x:c>
      <x:c r="Q104" s="9" t="str">
        <x:v>Released</x:v>
      </x:c>
      <x:c r="R104" s="9" t="str">
        <x:v>Original production; edutainment commissioned by Trip Hawkins, ~8.5-month development</x:v>
      </x:c>
      <x:c r="S104" s="9" t="str">
        <x:v>3DO exclusive</x:v>
      </x:c>
      <x:c r="T104" s="9" t="str">
        <x:v>Child actors as Billy, Angelica, Bryce, Sopha Sinfree and Ernie; a Golden Retriever in a suit as newscaster John (actor names undocumented — verify)</x:v>
      </x:c>
      <x:c r="U104" s="9" t="n">
        <x:v>1</x:v>
      </x:c>
      <x:c r="V104" s="9" t="str">
        <x:v>Unknown — verify</x:v>
      </x:c>
      <x:c r="W104" s="9" t="str">
        <x:v>Standard 3DO controller; up to 5 players sharing one pad</x:v>
      </x:c>
      <x:c r="X104" s="9" t="str">
        <x:v>Low</x:v>
      </x:c>
      <x:c r="Y104" s="9" t="str">
        <x:v>Original music; tile puzzles use public-domain fine art</x:v>
      </x:c>
      <x:c r="Z104" s="9" t="str">
        <x:v>30–45 min per 10-round match</x:v>
      </x:c>
      <x:c r="AA104" s="9" t="str">
        <x:v>Kids seize a TV station and you earn ratings by doing math and word puzzles between live-action sketches — Ed Rotberg (Battlezone) making edutainment for 3DO.</x:v>
      </x:c>
      <x:c r="AB104" s="9" t="str">
        <x:v>None known; FMV can be skipped or turned off entirely in options</x:v>
      </x:c>
      <x:c r="AC104" s="9" t="str">
        <x:v>Live-action kids composited into CG sets, windowed, ~15 fps; short show clips play as rewards</x:v>
      </x:c>
      <x:c r="AD104" s="9" t="str">
        <x:v>Four selectable difficulty levels; aimed at under-8s per Next Generation</x:v>
      </x:c>
      <x:c r="AE104" s="9" t="str">
        <x:v>No story; highest ratings after 'Sweeps Week' wins and an awards-ceremony clip plays</x:v>
      </x:c>
      <x:c r="AF104" s="9" t="str">
        <x:v>Rotberg said the game was 'not as big a success as we would have liked' and that DVD-sized storage would have made a much better version. Next Generation: 'If you're under eight, it's a scream.'</x:v>
      </x:c>
      <x:c r="AG104" s="9" t="str">
        <x:v>NA (6 Dec 1994) and PAL (1994) releases under the Club 3DO label</x:v>
      </x:c>
      <x:c r="AH104" s="9" t="str">
        <x:v>No</x:v>
      </x:c>
      <x:c r="AI104" s="9" t="str">
        <x:v>Easy</x:v>
      </x:c>
      <x:c r="AJ104" s="9"/>
      <x:c r="AK104" s="9" t="str">
        <x:v>Reviews: Game Players 75%, Next Gen 3/5, 3DO Magazine 3/5, Electronic Games D+.</x:v>
      </x:c>
      <x:c r="AL104" s="10" t="n">
        <x:v>11</x:v>
      </x:c>
      <x:c r="AM104" s="10" t="n">
        <x:v>24.8</x:v>
      </x:c>
      <x:c r="AN104" s="10" t="n">
        <x:v>61.24</x:v>
      </x:c>
      <x:c r="AO104" s="9" t="str">
        <x:v>2026-10-20</x:v>
      </x:c>
      <x:c r="AP104" s="11" t="str">
        <x:f>HYPERLINK("https://www.pricecharting.com/search-products?q=Station+Invasion+3do&amp;type=prices","PriceCharting")</x:f>
        <x:v>PriceCharting</x:v>
      </x:c>
      <x:c r="AQ104" s="9"/>
      <x:c r="AR104" s="9"/>
      <x:c r="AS104" s="9"/>
      <x:c r="AT104" s="9"/>
      <x:c r="AU104" s="9"/>
      <x:c r="AV104" s="9"/>
      <x:c r="AW104" s="9"/>
      <x:c r="AX104" s="9"/>
      <x:c r="AY104" s="9" t="str">
        <x:v>65%</x:v>
      </x:c>
      <x:c r="AZ104" s="9" t="str">
        <x:v>3.3</x:v>
      </x:c>
      <x:c r="BA104" s="11" t="str">
        <x:f>HYPERLINK("https://www.mobygames.com/game/3do/club-3do-station-invasion","MobyGames")</x:f>
        <x:v>MobyGames</x:v>
      </x:c>
      <x:c r="BB104" s="9"/>
      <x:c r="BC104" s="9"/>
      <x:c r="BD104" s="9"/>
      <x:c r="BE104" s="11" t="str">
        <x:f>HYPERLINK("https://en.wikipedia.org/wiki/Club_3DO:_Station_Invasion","Wikipedia")</x:f>
        <x:v>Wikipedia</x:v>
      </x:c>
      <x:c r="BF104" s="11" t="str">
        <x:f>HYPERLINK("https://backloggd.com/search/games/Station%20Invasion/","Backloggd")</x:f>
        <x:v>Backloggd</x:v>
      </x:c>
      <x:c r="BG104" s="9"/>
      <x:c r="BH104" s="9"/>
      <x:c r="BI104" s="12" t="str">
        <x:v>No</x:v>
      </x:c>
      <x:c r="BJ104" s="12" t="str"/>
      <x:c r="BK104" s="12" t="str">
        <x:v>No</x:v>
      </x:c>
      <x:c r="BL104" s="12" t="str"/>
      <x:c r="BM104" s="12" t="str"/>
      <x:c r="BN104" s="12" t="str"/>
      <x:c r="BO104" s="12" t="str"/>
      <x:c r="BP104" s="12" t="str"/>
      <x:c r="BQ104" s="12" t="str"/>
    </x:row>
    <x:row r="105">
      <x:c r="A105" s="9" t="str">
        <x:v>3do-37</x:v>
      </x:c>
      <x:c r="B105" s="9" t="str">
        <x:v>cowboy-casino</x:v>
      </x:c>
      <x:c r="C105" s="9" t="str">
        <x:v>3DO</x:v>
      </x:c>
      <x:c r="D105" s="9" t="str">
        <x:v>Cowboy Casino</x:v>
      </x:c>
      <x:c r="E105" s="9" t="str">
        <x:v>Cowboy Casino Interactive Poker</x:v>
      </x:c>
      <x:c r="F105" s="9" t="str">
        <x:v>IntelliPlay / The Computer Studio (Intellimedia Sports)</x:v>
      </x:c>
      <x:c r="G105" s="9" t="str">
        <x:v>Intellimedia Sports / IntelliPlay (NA)</x:v>
      </x:c>
      <x:c r="H105" s="9" t="n">
        <x:v>1994</x:v>
      </x:c>
      <x:c r="I105" s="9" t="str">
        <x:v>Yes</x:v>
      </x:c>
      <x:c r="J105" s="9" t="str">
        <x:v>No</x:v>
      </x:c>
      <x:c r="K105" s="9" t="str">
        <x:v>No</x:v>
      </x:c>
      <x:c r="L105" s="9" t="str">
        <x:v>No</x:v>
      </x:c>
      <x:c r="M105" s="9" t="str">
        <x:v>Card game / poker tutor</x:v>
      </x:c>
      <x:c r="N105" s="9" t="str">
        <x:v>Live-action</x:v>
      </x:c>
      <x:c r="O105" s="9" t="n">
        <x:v>7</x:v>
      </x:c>
      <x:c r="P105" s="9" t="str">
        <x:v>Interactive movie</x:v>
      </x:c>
      <x:c r="Q105" s="9" t="str">
        <x:v>Released</x:v>
      </x:c>
      <x:c r="R105" s="9" t="str">
        <x:v>Original production — poker coaching title from Atlanta's Intellimedia (ESPN instructional-video licensee)</x:v>
      </x:c>
      <x:c r="S105" s="9" t="str">
        <x:v>Windows and Macintosh (MPC CD-ROM)</x:v>
      </x:c>
      <x:c r="T105" s="9" t="str">
        <x:v>Unnamed actors as five Old West opponents (cowboy, gambler, dude, bandito, miner) and a card-counting bartender</x:v>
      </x:c>
      <x:c r="U105" s="9" t="n">
        <x:v>1</x:v>
      </x:c>
      <x:c r="V105" s="9" t="str">
        <x:v>Unknown — verify</x:v>
      </x:c>
      <x:c r="W105" s="9" t="str">
        <x:v>Standard 3DO controller</x:v>
      </x:c>
      <x:c r="X105" s="9" t="str">
        <x:v>Low</x:v>
      </x:c>
      <x:c r="Y105" s="9" t="str">
        <x:v>Original saloon music; no licensed content</x:v>
      </x:c>
      <x:c r="Z105" s="9" t="str">
        <x:v>Open-ended; a session 30–60 min</x:v>
      </x:c>
      <x:c r="AA105" s="9" t="str">
        <x:v>Five filmed saloon caricatures react to every hand you play — an FMV poker tutor that MAN!AC crowned 'Flop of the Year'.</x:v>
      </x:c>
      <x:c r="AB105" s="9" t="str">
        <x:v>None known</x:v>
      </x:c>
      <x:c r="AC105" s="9" t="str">
        <x:v>Windowed live-action reaction clips over a static table, ~15 fps</x:v>
      </x:c>
      <x:c r="AD105" s="9" t="str">
        <x:v>Low to medium; critics doubted the dealing was fair</x:v>
      </x:c>
      <x:c r="AE105" s="9" t="str">
        <x:v>None; four poker variants (5-card draw, 5-card stud, 7-card stud, Texas hold'em)</x:v>
      </x:c>
      <x:c r="AF105" s="9" t="str">
        <x:v>Bundled with J. Edward Allen's booklet The Basics of Winning Poker. Giant Bomb lists Panasonic Interactive Media as publisher, conflicting with Wikipedia (IntelliPlay); Wikipedia's 3DO list dates it 21 Jul 1995 while the article says 1994.</x:v>
      </x:c>
      <x:c r="AG105" s="9" t="str">
        <x:v>NA release; later PC/Mac MPC version</x:v>
      </x:c>
      <x:c r="AH105" s="9" t="str">
        <x:v>No</x:v>
      </x:c>
      <x:c r="AI105" s="9" t="str">
        <x:v>Easy</x:v>
      </x:c>
      <x:c r="AJ105" s="9"/>
      <x:c r="AK105" s="9" t="str">
        <x:v>Release year uncertain: 1994 (article) vs 21 Jul 1995 (list). Reviews: Entertainment Weekly B-, MAN!AC 13%, NGamer 1/5.</x:v>
      </x:c>
      <x:c r="AL105" s="10" t="n">
        <x:v>11.21</x:v>
      </x:c>
      <x:c r="AM105" s="10" t="n">
        <x:v>27.52</x:v>
      </x:c>
      <x:c r="AN105" s="10" t="n">
        <x:v>65.24</x:v>
      </x:c>
      <x:c r="AO105" s="9" t="str">
        <x:v>2026-10-20</x:v>
      </x:c>
      <x:c r="AP105" s="11" t="str">
        <x:f>HYPERLINK("https://www.pricecharting.com/search-products?q=Cowboy+Casino+3do&amp;type=prices","PriceCharting")</x:f>
        <x:v>PriceCharting</x:v>
      </x:c>
      <x:c r="AQ105" s="9"/>
      <x:c r="AR105" s="9"/>
      <x:c r="AS105" s="9"/>
      <x:c r="AT105" s="9"/>
      <x:c r="AU105" s="9"/>
      <x:c r="AV105" s="9"/>
      <x:c r="AW105" s="9"/>
      <x:c r="AX105" s="9"/>
      <x:c r="AY105" s="9" t="str">
        <x:v>39%</x:v>
      </x:c>
      <x:c r="AZ105" s="9"/>
      <x:c r="BA105" s="11" t="str">
        <x:f>HYPERLINK("https://www.mobygames.com/game/3do/cowboy-casino","MobyGames")</x:f>
        <x:v>MobyGames</x:v>
      </x:c>
      <x:c r="BB105" s="9"/>
      <x:c r="BC105" s="9"/>
      <x:c r="BD105" s="9"/>
      <x:c r="BE105" s="11" t="str">
        <x:f>HYPERLINK("https://en.wikipedia.org/wiki/Cowboy_Casino_Interactive_Poker","Wikipedia")</x:f>
        <x:v>Wikipedia</x:v>
      </x:c>
      <x:c r="BF105" s="11" t="str">
        <x:f>HYPERLINK("https://backloggd.com/search/games/Cowboy%20Casino/","Backloggd")</x:f>
        <x:v>Backloggd</x:v>
      </x:c>
      <x:c r="BG105" s="9"/>
      <x:c r="BH105" s="9"/>
      <x:c r="BI105" s="12" t="str">
        <x:v>No</x:v>
      </x:c>
      <x:c r="BJ105" s="12" t="str"/>
      <x:c r="BK105" s="12" t="str">
        <x:v>No</x:v>
      </x:c>
      <x:c r="BL105" s="12" t="str"/>
      <x:c r="BM105" s="12" t="str"/>
      <x:c r="BN105" s="12" t="str"/>
      <x:c r="BO105" s="12" t="str"/>
      <x:c r="BP105" s="12" t="str"/>
      <x:c r="BQ105" s="12" t="str"/>
    </x:row>
    <x:row r="106">
      <x:c r="A106" s="9" t="str">
        <x:v>3do-38</x:v>
      </x:c>
      <x:c r="B106" s="9" t="str">
        <x:v>thayers-quest</x:v>
      </x:c>
      <x:c r="C106" s="9" t="str">
        <x:v>3DO</x:v>
      </x:c>
      <x:c r="D106" s="9" t="str">
        <x:v>Kingdom: The Far Reaches</x:v>
      </x:c>
      <x:c r="E106" s="9" t="str">
        <x:v>Thayer's Quest (original 1984 laserdisc)</x:v>
      </x:c>
      <x:c r="F106" s="9" t="str">
        <x:v>Virtual Image Productions / Interplay (from RDI Video Systems' animation)</x:v>
      </x:c>
      <x:c r="G106" s="9" t="str">
        <x:v>Interplay Productions (NA/EU)</x:v>
      </x:c>
      <x:c r="H106" s="9" t="n">
        <x:v>1995</x:v>
      </x:c>
      <x:c r="I106" s="9" t="str">
        <x:v>Yes</x:v>
      </x:c>
      <x:c r="J106" s="9" t="str">
        <x:v>No</x:v>
      </x:c>
      <x:c r="K106" s="9" t="str">
        <x:v>Yes</x:v>
      </x:c>
      <x:c r="L106" s="9" t="str">
        <x:v>No</x:v>
      </x:c>
      <x:c r="M106" s="9" t="str">
        <x:v>Animated adventure</x:v>
      </x:c>
      <x:c r="N106" s="9" t="str">
        <x:v>Animated</x:v>
      </x:c>
      <x:c r="O106" s="9" t="n">
        <x:v>9</x:v>
      </x:c>
      <x:c r="P106" s="9" t="str">
        <x:v>Laserdisc port</x:v>
      </x:c>
      <x:c r="Q106" s="9" t="str">
        <x:v>Released</x:v>
      </x:c>
      <x:c r="R106" s="9" t="str">
        <x:v>Arcade/Halcyon laserdisc game Thayer's Quest (RDI, 1984), re-edited with new voice-over, renamed characters and added animation/puzzles</x:v>
      </x:c>
      <x:c r="S106" s="9" t="str">
        <x:v>PC (DOS), CD-i; GOG/Epic re-release of PC version; sequel Kingdom II: Shadoan (PC/CD-i, 1996)</x:v>
      </x:c>
      <x:c r="T106" s="9" t="str">
        <x:v>Voice cast undocumented — verify; original Thayer's Quest animation team under Rick Dyer</x:v>
      </x:c>
      <x:c r="U106" s="9" t="n">
        <x:v>1</x:v>
      </x:c>
      <x:c r="V106" s="9" t="str">
        <x:v>Yes</x:v>
      </x:c>
      <x:c r="W106" s="9" t="str">
        <x:v>Standard 3DO controller</x:v>
      </x:c>
      <x:c r="X106" s="9" t="str">
        <x:v>Low</x:v>
      </x:c>
      <x:c r="Y106" s="9" t="str">
        <x:v>Original score; no licensed material</x:v>
      </x:c>
      <x:c r="Z106" s="9" t="str">
        <x:v>0.5–2 hr</x:v>
      </x:c>
      <x:c r="AA106" s="9" t="str">
        <x:v>A 1984 laserdisc fantasy cartoon resurrected as a 1995 point-and-click where one wrong item use can permanently lose the game — Dragon's Lair's forgotten cousin.</x:v>
      </x:c>
      <x:c r="AB106" s="9" t="str">
        <x:v>None known</x:v>
      </x:c>
      <x:c r="AC106" s="9" t="str">
        <x:v>Near full-screen streamed cel animation, ~15 fps, visibly pixelated</x:v>
      </x:c>
      <x:c r="AD106" s="9" t="str">
        <x:v>High trial-and-error; limited lives and unwinnable states</x:v>
      </x:c>
      <x:c r="AE106" s="9" t="str">
        <x:v>Branching dialogue and paths; one true ending (collecting three of five relics) plus many death animations</x:v>
      </x:c>
      <x:c r="AF106" s="9" t="str">
        <x:v>Thayer became Lathan Kandor and villain Sorsabal became Torlock. Kingdom II reportedly cost over $3 million with 300+ animators; a third part was never made after bankruptcy.</x:v>
      </x:c>
      <x:c r="AG106" s="9" t="str">
        <x:v>NA (18 Jul 1995) and PAL (1996) 3DO releases</x:v>
      </x:c>
      <x:c r="AH106" s="9" t="str">
        <x:v>Yes (PC version on GOG and Epic Games Store; 3DO version not re-released)</x:v>
      </x:c>
      <x:c r="AI106" s="9" t="str">
        <x:v>Easy</x:v>
      </x:c>
      <x:c r="AJ106" s="9"/>
      <x:c r="AK106" s="9" t="str">
        <x:v>Critics compared the FMV to a Saturday-morning cartoon; GamePro found it less linear than Dragon's Lair.</x:v>
      </x:c>
      <x:c r="AL106" s="10" t="n">
        <x:v>27.24</x:v>
      </x:c>
      <x:c r="AM106" s="10" t="n">
        <x:v>42.85</x:v>
      </x:c>
      <x:c r="AN106" s="10" t="n">
        <x:v>69.56</x:v>
      </x:c>
      <x:c r="AO106" s="9" t="str">
        <x:v>2026-10-20</x:v>
      </x:c>
      <x:c r="AP106" s="11" t="str">
        <x:f>HYPERLINK("https://www.pricecharting.com/search-products?q=Kingdom%3A+The+Far+Reaches+3do&amp;type=prices","PriceCharting")</x:f>
        <x:v>PriceCharting</x:v>
      </x:c>
      <x:c r="AQ106" s="9"/>
      <x:c r="AR106" s="9"/>
      <x:c r="AS106" s="9"/>
      <x:c r="AT106" s="9"/>
      <x:c r="AU106" s="9"/>
      <x:c r="AV106" s="9"/>
      <x:c r="AW106" s="9"/>
      <x:c r="AX106" s="9"/>
      <x:c r="AY106" s="9"/>
      <x:c r="AZ106" s="9"/>
      <x:c r="BA106" s="11" t="str">
        <x:f>HYPERLINK("https://www.mobygames.com/game/3do/kingdom-the-far-reaches","MobyGames")</x:f>
        <x:v>MobyGames</x:v>
      </x:c>
      <x:c r="BB106" s="9" t="str">
        <x:v>40%</x:v>
      </x:c>
      <x:c r="BC106" s="9" t="str">
        <x:v>average of 2 reviews on Wikipedia (Maximum, NGen)</x:v>
      </x:c>
      <x:c r="BD106" s="9" t="str">
        <x:f>HYPERLINK("https://en.wikipedia.org/wiki/Thayer%27s_Quest","Source")</x:f>
        <x:v>Source</x:v>
      </x:c>
      <x:c r="BE106" s="11" t="str">
        <x:f>HYPERLINK("https://en.wikipedia.org/wiki/Thayer%27s_Quest","Wikipedia")</x:f>
        <x:v>Wikipedia</x:v>
      </x:c>
      <x:c r="BF106" s="11" t="str">
        <x:f>HYPERLINK("https://backloggd.com/search/games/Kingdom%3A%20The%20Far%20Reaches/","Backloggd")</x:f>
        <x:v>Backloggd</x:v>
      </x:c>
      <x:c r="BG106" s="9"/>
      <x:c r="BH106" s="9"/>
      <x:c r="BI106" s="12" t="str">
        <x:v>No</x:v>
      </x:c>
      <x:c r="BJ106" s="12" t="str"/>
      <x:c r="BK106" s="12" t="str">
        <x:v>No</x:v>
      </x:c>
      <x:c r="BL106" s="12" t="str"/>
      <x:c r="BM106" s="12" t="str"/>
      <x:c r="BN106" s="12" t="str"/>
      <x:c r="BO106" s="12" t="str"/>
      <x:c r="BP106" s="12" t="str"/>
      <x:c r="BQ106" s="12" t="str"/>
    </x:row>
    <x:row r="107">
      <x:c r="A107" s="9" t="str">
        <x:v>3do-39</x:v>
      </x:c>
      <x:c r="B107" s="9" t="str">
        <x:v>pyramid-patrol</x:v>
      </x:c>
      <x:c r="C107" s="9" t="str">
        <x:v>3DO</x:v>
      </x:c>
      <x:c r="D107" s="9" t="str">
        <x:v>Pyramid Intruder</x:v>
      </x:c>
      <x:c r="E107" s="9" t="str">
        <x:v>Pyramid Patrol (LaserActive original); ピラミッド・イントルーダー</x:v>
      </x:c>
      <x:c r="F107" s="9" t="str">
        <x:v>HighTech Lab. Japan</x:v>
      </x:c>
      <x:c r="G107" s="9" t="str">
        <x:v>Taito (JP)</x:v>
      </x:c>
      <x:c r="H107" s="9" t="n">
        <x:v>1995</x:v>
      </x:c>
      <x:c r="I107" s="9" t="str">
        <x:v>No</x:v>
      </x:c>
      <x:c r="J107" s="9" t="str">
        <x:v>Yes</x:v>
      </x:c>
      <x:c r="K107" s="9" t="str">
        <x:v>No</x:v>
      </x:c>
      <x:c r="L107" s="9" t="str">
        <x:v>No</x:v>
      </x:c>
      <x:c r="M107" s="9" t="str">
        <x:v>Rail shooter</x:v>
      </x:c>
      <x:c r="N107" s="9" t="str">
        <x:v>Pre-rendered CG</x:v>
      </x:c>
      <x:c r="O107" s="9" t="n">
        <x:v>9</x:v>
      </x:c>
      <x:c r="P107" s="9" t="str">
        <x:v>Pre-rendered CG</x:v>
      </x:c>
      <x:c r="Q107" s="9" t="str">
        <x:v>Released</x:v>
      </x:c>
      <x:c r="R107" s="9" t="str">
        <x:v>Remake of Taito's Pioneer LaserActive launch title Pyramid Patrol (1993), whose 3DCG footage came from a Taito motion-ride attraction</x:v>
      </x:c>
      <x:c r="S107" s="9" t="str">
        <x:v>LaserActive Mega-LD (as Pyramid Patrol, 1993)</x:v>
      </x:c>
      <x:c r="T107" s="9" t="str">
        <x:v>—</x:v>
      </x:c>
      <x:c r="U107" s="9" t="n">
        <x:v>1</x:v>
      </x:c>
      <x:c r="V107" s="9" t="str">
        <x:v>Unknown — verify</x:v>
      </x:c>
      <x:c r="W107" s="9" t="str">
        <x:v>Standard 3DO controller</x:v>
      </x:c>
      <x:c r="X107" s="9" t="str">
        <x:v>Low</x:v>
      </x:c>
      <x:c r="Y107" s="9" t="str">
        <x:v>Original Taito music</x:v>
      </x:c>
      <x:c r="Z107" s="9" t="str">
        <x:v>30–45 min</x:v>
      </x:c>
      <x:c r="AA107" s="9" t="str">
        <x:v>A Japan-only 3DO remake of a LaserActive ride-film shooter: your ship flies through pre-rendered Martian pyramids Rebel Assault-style.</x:v>
      </x:c>
      <x:c r="AB107" s="9" t="str">
        <x:v>None known</x:v>
      </x:c>
      <x:c r="AC107" s="9" t="str">
        <x:v>Near full-screen pre-rendered CG streams, ~15 fps, reworked and extended from the LaserActive footage</x:v>
      </x:c>
      <x:c r="AD107" s="9" t="str">
        <x:v>Medium; limited movement over fixed flight path</x:v>
      </x:c>
      <x:c r="AE107" s="9" t="str">
        <x:v>Single ending (return the Golden Statue)</x:v>
      </x:c>
      <x:c r="AF107" s="9" t="str">
        <x:v>The 3DO version switches from LaserActive's cursor-shooting to third-person ship control, reworks most FMV and adds new scenes. Released 11 Aug 1995, among the last Japanese 3DO titles.</x:v>
      </x:c>
      <x:c r="AG107" s="9" t="str">
        <x:v>JP release only (Taito)</x:v>
      </x:c>
      <x:c r="AH107" s="9" t="str">
        <x:v>No</x:v>
      </x:c>
      <x:c r="AI107" s="9" t="str">
        <x:v>Easy</x:v>
      </x:c>
      <x:c r="AJ107" s="9"/>
      <x:c r="AK107" s="9" t="str">
        <x:v>Story set in 2035: a pyramid on Mars awakens a hibernating Atlantean race. Not listed on PriceCharting.</x:v>
      </x:c>
      <x:c r="AL107" s="10"/>
      <x:c r="AM107" s="10"/>
      <x:c r="AN107" s="10"/>
      <x:c r="AO107" s="9"/>
      <x:c r="AP107" s="11" t="str">
        <x:f>HYPERLINK("https://www.pricecharting.com/game/jp-3do/pyramid-intruder","PriceCharting")</x:f>
        <x:v>PriceCharting</x:v>
      </x:c>
      <x:c r="AQ107" s="9"/>
      <x:c r="AR107" s="9"/>
      <x:c r="AS107" s="9"/>
      <x:c r="AT107" s="9"/>
      <x:c r="AU107" s="9"/>
      <x:c r="AV107" s="9"/>
      <x:c r="AW107" s="9"/>
      <x:c r="AX107" s="9"/>
      <x:c r="AY107" s="9"/>
      <x:c r="AZ107" s="9"/>
      <x:c r="BA107" s="11" t="str">
        <x:f>HYPERLINK("https://www.mobygames.com/game/3do/pyramid-patrol","MobyGames")</x:f>
        <x:v>MobyGames</x:v>
      </x:c>
      <x:c r="BB107" s="9"/>
      <x:c r="BC107" s="9"/>
      <x:c r="BD107" s="9"/>
      <x:c r="BE107" s="9"/>
      <x:c r="BF107" s="11" t="str">
        <x:f>HYPERLINK("https://backloggd.com/search/games/Pyramid%20Intruder/","Backloggd")</x:f>
        <x:v>Backloggd</x:v>
      </x:c>
      <x:c r="BG107" s="9"/>
      <x:c r="BH107" s="9"/>
      <x:c r="BI107" s="12" t="str">
        <x:v>No</x:v>
      </x:c>
      <x:c r="BJ107" s="12" t="str"/>
      <x:c r="BK107" s="12" t="str">
        <x:v>No</x:v>
      </x:c>
      <x:c r="BL107" s="12" t="str"/>
      <x:c r="BM107" s="12" t="str"/>
      <x:c r="BN107" s="12" t="str"/>
      <x:c r="BO107" s="12" t="str"/>
      <x:c r="BP107" s="12" t="str"/>
      <x:c r="BQ107" s="12" t="str"/>
    </x:row>
    <x:row r="108">
      <x:c r="A108" s="9" t="str">
        <x:v>3do-40</x:v>
      </x:c>
      <x:c r="B108" s="9" t="str">
        <x:v>ultraman-powered</x:v>
      </x:c>
      <x:c r="C108" s="9" t="str">
        <x:v>3DO</x:v>
      </x:c>
      <x:c r="D108" s="9" t="str">
        <x:v>Ultraman Powered</x:v>
      </x:c>
      <x:c r="E108" s="9" t="str">
        <x:v>ウルトラマンパワード (based on Ultraman: The Ultimate Hero)</x:v>
      </x:c>
      <x:c r="F108" s="9" t="str">
        <x:v>Tose</x:v>
      </x:c>
      <x:c r="G108" s="9" t="str">
        <x:v>Bandai (JP)</x:v>
      </x:c>
      <x:c r="H108" s="9" t="n">
        <x:v>1994</x:v>
      </x:c>
      <x:c r="I108" s="9" t="str">
        <x:v>No</x:v>
      </x:c>
      <x:c r="J108" s="9" t="str">
        <x:v>Yes</x:v>
      </x:c>
      <x:c r="K108" s="9" t="str">
        <x:v>No</x:v>
      </x:c>
      <x:c r="L108" s="9" t="str">
        <x:v>No</x:v>
      </x:c>
      <x:c r="M108" s="9" t="str">
        <x:v>Fighting + rail shooter</x:v>
      </x:c>
      <x:c r="N108" s="9" t="str">
        <x:v>Live-action</x:v>
      </x:c>
      <x:c r="O108" s="9" t="n">
        <x:v>4</x:v>
      </x:c>
      <x:c r="P108" s="9" t="str">
        <x:v>Cutscenes only</x:v>
      </x:c>
      <x:c r="Q108" s="9" t="str">
        <x:v>Released</x:v>
      </x:c>
      <x:c r="R108" s="9" t="str">
        <x:v>TV license — Tsuburaya's 1993 US-made tokusatsu series Ultraman: The Ultimate Hero (Ultraman Powered)</x:v>
      </x:c>
      <x:c r="S108" s="9" t="str">
        <x:v>3DO exclusive (a different Ultraman Powered game exists on Bandai Playdia)</x:v>
      </x:c>
      <x:c r="T108" s="9" t="str">
        <x:v>Footage of the series cast (Kane Kosugi as Kenichi Kai) in FMV clips; suit actors as Ultraman and kaiju</x:v>
      </x:c>
      <x:c r="U108" s="9" t="n">
        <x:v>1</x:v>
      </x:c>
      <x:c r="V108" s="9" t="str">
        <x:v>Unknown — verify</x:v>
      </x:c>
      <x:c r="W108" s="9" t="str">
        <x:v>Standard 3DO controller; 2-player versus</x:v>
      </x:c>
      <x:c r="X108" s="9" t="str">
        <x:v>Med–High</x:v>
      </x:c>
      <x:c r="Y108" s="9" t="str">
        <x:v>Extensive TV-series footage and music owned by Tsuburaya Productions</x:v>
      </x:c>
      <x:c r="Z108" s="9" t="str">
        <x:v>1 hr</x:v>
      </x:c>
      <x:c r="AA108" s="9" t="str">
        <x:v>A Japanese 3DO launch title that cuts the 1993 Los Angeles-made Ultraman show into a slow fighting game with digitized kaiju and a rail-shooter warm-up.</x:v>
      </x:c>
      <x:c r="AB108" s="9" t="str">
        <x:v>None known; versus roster unlocks by play</x:v>
      </x:c>
      <x:c r="AC108" s="9" t="str">
        <x:v>Windowed FMV clips from the series between bouts, ~15 fps; digitized sprites and backgrounds</x:v>
      </x:c>
      <x:c r="AD108" s="9" t="str">
        <x:v>Medium; controls widely called poor</x:v>
      </x:c>
      <x:c r="AE108" s="9" t="str">
        <x:v>Single ending in Battle Mode; Visual Mode is three matches with long FMV</x:v>
      </x:c>
      <x:c r="AF108" s="9" t="str">
        <x:v>Released 20 Mar 1994 as a Japanese 3DO launch title. Famitsu scores ranged 5–8; Next Generation 2/5, but GameFan's Dave Halverson praised it.</x:v>
      </x:c>
      <x:c r="AG108" s="9" t="str">
        <x:v>JP release only</x:v>
      </x:c>
      <x:c r="AH108" s="9" t="str">
        <x:v>No</x:v>
      </x:c>
      <x:c r="AI108" s="9" t="str">
        <x:v>Easy</x:v>
      </x:c>
      <x:c r="AJ108" s="9"/>
      <x:c r="AK108" s="9" t="str">
        <x:v>Three modes: Visual (FMV-heavy), Battle (rail shooter then fight), Versus. Japanese 3DO launch title, Mar 20, 1994. Not listed on PriceCharting.</x:v>
      </x:c>
      <x:c r="AL108" s="10"/>
      <x:c r="AM108" s="10"/>
      <x:c r="AN108" s="10"/>
      <x:c r="AO108" s="9"/>
      <x:c r="AP108" s="11" t="str">
        <x:f>HYPERLINK("https://www.pricecharting.com/game/jp-3do/ultraman-powered","PriceCharting")</x:f>
        <x:v>PriceCharting</x:v>
      </x:c>
      <x:c r="AQ108" s="9"/>
      <x:c r="AR108" s="9"/>
      <x:c r="AS108" s="9"/>
      <x:c r="AT108" s="9"/>
      <x:c r="AU108" s="9"/>
      <x:c r="AV108" s="9"/>
      <x:c r="AW108" s="9"/>
      <x:c r="AX108" s="9"/>
      <x:c r="AY108" s="9" t="str">
        <x:v>57%</x:v>
      </x:c>
      <x:c r="AZ108" s="9" t="str">
        <x:v>5.0</x:v>
      </x:c>
      <x:c r="BA108" s="11" t="str">
        <x:f>HYPERLINK("https://www.mobygames.com/game/3do/ultraman-powered","MobyGames")</x:f>
        <x:v>MobyGames</x:v>
      </x:c>
      <x:c r="BB108" s="9"/>
      <x:c r="BC108" s="9"/>
      <x:c r="BD108" s="9"/>
      <x:c r="BE108" s="11" t="str">
        <x:f>HYPERLINK("https://en.wikipedia.org/wiki/Ultraman_Powered_(video_game)","Wikipedia")</x:f>
        <x:v>Wikipedia</x:v>
      </x:c>
      <x:c r="BF108" s="11" t="str">
        <x:f>HYPERLINK("https://backloggd.com/search/games/Ultraman%20Powered/","Backloggd")</x:f>
        <x:v>Backloggd</x:v>
      </x:c>
      <x:c r="BG108" s="9"/>
      <x:c r="BH108" s="9"/>
      <x:c r="BI108" s="12" t="str">
        <x:v>No</x:v>
      </x:c>
      <x:c r="BJ108" s="12" t="str"/>
      <x:c r="BK108" s="12" t="str">
        <x:v>No</x:v>
      </x:c>
      <x:c r="BL108" s="12" t="str"/>
      <x:c r="BM108" s="12" t="str"/>
      <x:c r="BN108" s="12" t="str"/>
      <x:c r="BO108" s="12" t="str"/>
      <x:c r="BP108" s="12" t="str"/>
      <x:c r="BQ108" s="12" t="str"/>
    </x:row>
    <x:row r="109">
      <x:c r="A109" s="9" t="str">
        <x:v>3do-41</x:v>
      </x:c>
      <x:c r="B109" s="9" t="str">
        <x:v>killing-time</x:v>
      </x:c>
      <x:c r="C109" s="9" t="str">
        <x:v>3DO</x:v>
      </x:c>
      <x:c r="D109" s="9" t="str">
        <x:v>Killing Time</x:v>
      </x:c>
      <x:c r="E109" s="9" t="str"/>
      <x:c r="F109" s="9" t="str">
        <x:v>Studio 3DO (Larry Reed, Rebecca Heineman, Al Tofanelli)</x:v>
      </x:c>
      <x:c r="G109" s="9" t="str">
        <x:v>The 3DO Company (NA/EU/JP)</x:v>
      </x:c>
      <x:c r="H109" s="9" t="n">
        <x:v>1995</x:v>
      </x:c>
      <x:c r="I109" s="9" t="str">
        <x:v>Yes</x:v>
      </x:c>
      <x:c r="J109" s="9" t="str">
        <x:v>Yes</x:v>
      </x:c>
      <x:c r="K109" s="9" t="str">
        <x:v>Yes</x:v>
      </x:c>
      <x:c r="L109" s="9" t="str">
        <x:v>No</x:v>
      </x:c>
      <x:c r="M109" s="9" t="str">
        <x:v>First-person shooter / horror adventure</x:v>
      </x:c>
      <x:c r="N109" s="9" t="str">
        <x:v>Live-action</x:v>
      </x:c>
      <x:c r="O109" s="9" t="n">
        <x:v>4</x:v>
      </x:c>
      <x:c r="P109" s="9" t="str">
        <x:v>FMV adventure</x:v>
      </x:c>
      <x:c r="Q109" s="9" t="str">
        <x:v>Released</x:v>
      </x:c>
      <x:c r="R109" s="9" t="str">
        <x:v>Original production; 1930s Maine island mansion modeled on Boldt Castle</x:v>
      </x:c>
      <x:c r="S109" s="9" t="str">
        <x:v>Windows (1996) and Mac (1997) by Logicware; GOG/ZOOM; Killing Time: Resurrected (Nightdive, 2024) on Switch/PS4/PS5/Xbox/PC</x:v>
      </x:c>
      <x:c r="T109" s="9" t="str">
        <x:v>Lise Bruneau (Tess Conway), Eric Flom, Colin Thomson, Tim Flanagan, Edward Sarafian, Paula Sonenberg, Ashley Penrod; Bruce Robertson (player voice)</x:v>
      </x:c>
      <x:c r="U109" s="9" t="n">
        <x:v>1</x:v>
      </x:c>
      <x:c r="V109" s="9" t="str">
        <x:v>Yes</x:v>
      </x:c>
      <x:c r="W109" s="9" t="str">
        <x:v>Standard 3DO controller</x:v>
      </x:c>
      <x:c r="X109" s="9" t="str">
        <x:v>Low</x:v>
      </x:c>
      <x:c r="Y109" s="9" t="str">
        <x:v>Original score by Robert Vieira</x:v>
      </x:c>
      <x:c r="Z109" s="9" t="str">
        <x:v>6–10 hr</x:v>
      </x:c>
      <x:c r="AA109" s="9" t="str">
        <x:v>Doom meets The 7th Guest: translucent live-action ghosts replay a 1932 party in real time inside a seamless, load-free 3DO island.</x:v>
      </x:c>
      <x:c r="AB109" s="9" t="str">
        <x:v>GameFAQs lists cheat codes only for the PC and Mac versions; none for 3DO. A Game Guru save patch fixes the clown-stage glitch.</x:v>
      </x:c>
      <x:c r="AC109" s="9" t="str">
        <x:v>Live-action ghost clips chroma-keyed into the 3D engine during play; full-screen FMV only for intro/ending, ~15 fps</x:v>
      </x:c>
      <x:c r="AD109" s="9" t="str">
        <x:v>Medium-hard; big nonlinear map, button combos for weapon switching</x:v>
      </x:c>
      <x:c r="AE109" s="9" t="str">
        <x:v>Single ending (destroy the Water-Clock)</x:v>
      </x:c>
      <x:c r="AF109" s="9" t="str">
        <x:v>Original pressing was a red disc with a clown-stage pixelation bug; 3DO mailed out a fixed black disc, which is now the rare one. Acclaim bought PS1/Saturn rights in 1996 but never shipped them.</x:v>
      </x:c>
      <x:c r="AG109" s="9" t="str">
        <x:v>NA red-disc first print and black-disc fixed reprint; PAL (10 Nov 1995); JP (22 Dec 1995)</x:v>
      </x:c>
      <x:c r="AH109" s="9" t="str">
        <x:v>Yes (Killing Time: Resurrected, Nightdive 2024, merging 3DO and PC assets; original PC on GOG)</x:v>
      </x:c>
      <x:c r="AI109" s="9" t="str">
        <x:v>Easy</x:v>
      </x:c>
      <x:c r="AJ109" s="9"/>
      <x:c r="AK109" s="9" t="str">
        <x:v>Won 3DO Adventure Game of the Year; GamesMaster ranked it #2 3DO game in 1996. Next Generation 4/5.</x:v>
      </x:c>
      <x:c r="AL109" s="10" t="n">
        <x:v>36.55</x:v>
      </x:c>
      <x:c r="AM109" s="10" t="n">
        <x:v>74.99</x:v>
      </x:c>
      <x:c r="AN109" s="10" t="n">
        <x:v>245.99</x:v>
      </x:c>
      <x:c r="AO109" s="9" t="str">
        <x:v>2026-10-20</x:v>
      </x:c>
      <x:c r="AP109" s="11" t="str">
        <x:f>HYPERLINK("https://www.pricecharting.com/search-products?q=Killing+Time+3do&amp;type=prices","PriceCharting")</x:f>
        <x:v>PriceCharting</x:v>
      </x:c>
      <x:c r="AQ109" s="9"/>
      <x:c r="AR109" s="9"/>
      <x:c r="AS109" s="9"/>
      <x:c r="AT109" s="9"/>
      <x:c r="AU109" s="9"/>
      <x:c r="AV109" s="9"/>
      <x:c r="AW109" s="9"/>
      <x:c r="AX109" s="9"/>
      <x:c r="AY109" s="9" t="str">
        <x:v>75%</x:v>
      </x:c>
      <x:c r="AZ109" s="9" t="str">
        <x:v>4.1</x:v>
      </x:c>
      <x:c r="BA109" s="11" t="str">
        <x:f>HYPERLINK("https://www.mobygames.com/game/3do/killing-time","MobyGames")</x:f>
        <x:v>MobyGames</x:v>
      </x:c>
      <x:c r="BB109" s="9"/>
      <x:c r="BC109" s="9"/>
      <x:c r="BD109" s="9"/>
      <x:c r="BE109" s="11" t="str">
        <x:f>HYPERLINK("https://en.wikipedia.org/wiki/Killing_Time_(video_game)","Wikipedia")</x:f>
        <x:v>Wikipedia</x:v>
      </x:c>
      <x:c r="BF109" s="11" t="str">
        <x:f>HYPERLINK("https://backloggd.com/search/games/Killing%20Time/","Backloggd")</x:f>
        <x:v>Backloggd</x:v>
      </x:c>
      <x:c r="BG109" s="9"/>
      <x:c r="BH109" s="9"/>
      <x:c r="BI109" s="12" t="str">
        <x:v>No</x:v>
      </x:c>
      <x:c r="BJ109" s="12" t="str"/>
      <x:c r="BK109" s="12" t="str">
        <x:v>No</x:v>
      </x:c>
      <x:c r="BL109" s="12" t="str"/>
      <x:c r="BM109" s="12" t="str"/>
      <x:c r="BN109" s="12" t="str"/>
      <x:c r="BO109" s="12" t="str"/>
      <x:c r="BP109" s="12" t="str"/>
      <x:c r="BQ109" s="12" t="str"/>
    </x:row>
    <x:row r="110">
      <x:c r="A110" s="9" t="str">
        <x:v>3do-42</x:v>
      </x:c>
      <x:c r="B110" s="9" t="str">
        <x:v>wing-commander-iii-heart-of-the-tiger</x:v>
      </x:c>
      <x:c r="C110" s="9" t="str">
        <x:v>3DO</x:v>
      </x:c>
      <x:c r="D110" s="9" t="str">
        <x:v>Wing Commander III: Heart of the Tiger</x:v>
      </x:c>
      <x:c r="E110" s="9" t="str"/>
      <x:c r="F110" s="9" t="str">
        <x:v>Origin Systems</x:v>
      </x:c>
      <x:c r="G110" s="9" t="str">
        <x:v>Origin Systems / Electronic Arts (NA/EU)</x:v>
      </x:c>
      <x:c r="H110" s="9" t="n">
        <x:v>1995</x:v>
      </x:c>
      <x:c r="I110" s="9" t="str">
        <x:v>Yes</x:v>
      </x:c>
      <x:c r="J110" s="9" t="str">
        <x:v>No</x:v>
      </x:c>
      <x:c r="K110" s="9" t="str">
        <x:v>Yes</x:v>
      </x:c>
      <x:c r="L110" s="9" t="str">
        <x:v>No</x:v>
      </x:c>
      <x:c r="M110" s="9" t="str">
        <x:v>Space combat sim / interactive movie</x:v>
      </x:c>
      <x:c r="N110" s="9" t="str">
        <x:v>Live-action + CG</x:v>
      </x:c>
      <x:c r="O110" s="9" t="n">
        <x:v>7</x:v>
      </x:c>
      <x:c r="P110" s="9" t="str">
        <x:v>Interactive movie</x:v>
      </x:c>
      <x:c r="Q110" s="9" t="str">
        <x:v>Released</x:v>
      </x:c>
      <x:c r="R110" s="9" t="str">
        <x:v>PC original (Origin, Dec 1994); 3DO conversion with added cutscenes</x:v>
      </x:c>
      <x:c r="S110" s="9" t="str">
        <x:v>PC (DOS), PlayStation (1996); cancelled Jaguar CD and Saturn ports</x:v>
      </x:c>
      <x:c r="T110" s="9" t="str">
        <x:v>Mark Hamill, Malcolm McDowell, John Rhys-Davies, Tom Wilson, Jason Bernard, Ginger Lynn Allen, Josh Lucas, Courtney Gains, François Chau, Tim Curry (voice)</x:v>
      </x:c>
      <x:c r="U110" s="9" t="n">
        <x:v>4</x:v>
      </x:c>
      <x:c r="V110" s="9" t="str">
        <x:v>Yes</x:v>
      </x:c>
      <x:c r="W110" s="9" t="str">
        <x:v>Standard controller; 3DO Flightstick Pro recommended</x:v>
      </x:c>
      <x:c r="X110" s="9" t="str">
        <x:v>Low–Med</x:v>
      </x:c>
      <x:c r="Y110" s="9" t="str">
        <x:v>Original George Oldziey score; EA/Origin footage occasionally matched by automated claims</x:v>
      </x:c>
      <x:c r="Z110" s="9" t="str">
        <x:v>10–15 hr</x:v>
      </x:c>
      <x:c r="AA110" s="9" t="str">
        <x:v>Mark Hamill and Malcolm McDowell star in the $4M green-screen space opera that EGM said had the cleanest FMV on any platform — and the 3DO cut adds scenes the PC never had.</x:v>
      </x:c>
      <x:c r="AB110" s="9" t="str">
        <x:v>Debug mode: at the New Game/Continue menu, hold L and P. (GameFAQs)</x:v>
      </x:c>
      <x:c r="AC110" s="9" t="str">
        <x:v>Near full-screen live-action composited over digital sets, sharper with fewer artifacts than PC but lower resolution; ~15 fps</x:v>
      </x:c>
      <x:c r="AD110" s="9" t="str">
        <x:v>Fixed at roughly PC 'Veteran'; missions faster and more arcade-like than PC</x:v>
      </x:c>
      <x:c r="AE110" s="9" t="str">
        <x:v>Branching romance (Flint/Rachel/neither) and Hobbes choice; only two of PC's three endings reachable on 3DO because planetary missions were cut</x:v>
      </x:c>
      <x:c r="AF110" s="9" t="str">
        <x:v>Planetary surface missions and manual takeoffs were replaced with FMV; new scenes include civilian news segments and a Hobbes hologram. Won 3DO Interactive Movie of the Year 1995.</x:v>
      </x:c>
      <x:c r="AG110" s="9" t="str">
        <x:v>NA (12 Jun 1995) and PAL 4-disc sets</x:v>
      </x:c>
      <x:c r="AH110" s="9" t="str">
        <x:v>Yes (PC version on GOG since 2011; 3DO version not re-released)</x:v>
      </x:c>
      <x:c r="AI110" s="9" t="str">
        <x:v>Easy</x:v>
      </x:c>
      <x:c r="AJ110" s="9"/>
      <x:c r="AK110" s="9" t="str">
        <x:v>A 3DO-only bug marks the first Hyperion mission failed unless every enemy dies. Next Gen 5/5, EGM 7.5/10, AllGame 4/5.</x:v>
      </x:c>
      <x:c r="AL110" s="10" t="n">
        <x:v>27.35</x:v>
      </x:c>
      <x:c r="AM110" s="10" t="n">
        <x:v>59.06</x:v>
      </x:c>
      <x:c r="AN110" s="10" t="n">
        <x:v>100</x:v>
      </x:c>
      <x:c r="AO110" s="9" t="str">
        <x:v>2026-10-20</x:v>
      </x:c>
      <x:c r="AP110" s="11" t="str">
        <x:f>HYPERLINK("https://www.pricecharting.com/search-products?q=Wing+Commander+III%3A+Heart+of+the+Tiger+3do&amp;type=prices","PriceCharting")</x:f>
        <x:v>PriceCharting</x:v>
      </x:c>
      <x:c r="AQ110" s="9"/>
      <x:c r="AR110" s="9"/>
      <x:c r="AS110" s="9"/>
      <x:c r="AT110" s="9"/>
      <x:c r="AU110" s="9"/>
      <x:c r="AV110" s="9"/>
      <x:c r="AW110" s="9"/>
      <x:c r="AX110" s="9"/>
      <x:c r="AY110" s="9" t="str">
        <x:v>87%</x:v>
      </x:c>
      <x:c r="AZ110" s="9" t="str">
        <x:v>3.9</x:v>
      </x:c>
      <x:c r="BA110" s="11" t="str">
        <x:f>HYPERLINK("https://www.mobygames.com/game/3do/wing-commander-iii-heart-of-the-tiger","MobyGames")</x:f>
        <x:v>MobyGames</x:v>
      </x:c>
      <x:c r="BB110" s="9"/>
      <x:c r="BC110" s="9"/>
      <x:c r="BD110" s="9"/>
      <x:c r="BE110" s="11" t="str">
        <x:f>HYPERLINK("https://en.wikipedia.org/wiki/Wing_Commander_III:_Heart_of_the_Tiger","Wikipedia")</x:f>
        <x:v>Wikipedia</x:v>
      </x:c>
      <x:c r="BF110" s="11" t="str">
        <x:f>HYPERLINK("https://backloggd.com/search/games/Wing%20Commander%20III%3A%20Heart%20of%20the%20Tiger/","Backloggd")</x:f>
        <x:v>Backloggd</x:v>
      </x:c>
      <x:c r="BG110" s="9"/>
      <x:c r="BH110" s="9"/>
      <x:c r="BI110" s="12" t="str">
        <x:v>No</x:v>
      </x:c>
      <x:c r="BJ110" s="12" t="str"/>
      <x:c r="BK110" s="12" t="str">
        <x:v>No</x:v>
      </x:c>
      <x:c r="BL110" s="12" t="str"/>
      <x:c r="BM110" s="12" t="str"/>
      <x:c r="BN110" s="12" t="str"/>
      <x:c r="BO110" s="12" t="str"/>
      <x:c r="BP110" s="12" t="str"/>
      <x:c r="BQ110" s="12" t="str"/>
    </x:row>
    <x:row r="111">
      <x:c r="A111" s="9" t="str">
        <x:v>3do-43</x:v>
      </x:c>
      <x:c r="B111" s="9" t="str">
        <x:v>super-wing-commander</x:v>
      </x:c>
      <x:c r="C111" s="9" t="str">
        <x:v>3DO</x:v>
      </x:c>
      <x:c r="D111" s="9" t="str">
        <x:v>Super Wing Commander</x:v>
      </x:c>
      <x:c r="E111" s="9" t="str">
        <x:v>Wing Commander (original 1990 PC title)</x:v>
      </x:c>
      <x:c r="F111" s="9" t="str">
        <x:v>Origin Systems</x:v>
      </x:c>
      <x:c r="G111" s="9" t="str">
        <x:v>Origin Systems (NA), Electronic Arts (EU), Electronic Arts Victor (JP)</x:v>
      </x:c>
      <x:c r="H111" s="9" t="n">
        <x:v>1994</x:v>
      </x:c>
      <x:c r="I111" s="9" t="str">
        <x:v>Yes</x:v>
      </x:c>
      <x:c r="J111" s="9" t="str">
        <x:v>Yes</x:v>
      </x:c>
      <x:c r="K111" s="9" t="str">
        <x:v>Yes</x:v>
      </x:c>
      <x:c r="L111" s="9" t="str">
        <x:v>No</x:v>
      </x:c>
      <x:c r="M111" s="9" t="str">
        <x:v>Space combat sim</x:v>
      </x:c>
      <x:c r="N111" s="9" t="str">
        <x:v>Animated</x:v>
      </x:c>
      <x:c r="O111" s="9" t="n">
        <x:v>2</x:v>
      </x:c>
      <x:c r="P111" s="9" t="str">
        <x:v>Cutscenes only</x:v>
      </x:c>
      <x:c r="Q111" s="9" t="str">
        <x:v>Released</x:v>
      </x:c>
      <x:c r="R111" s="9" t="str">
        <x:v>PC original Wing Commander (1990) plus Secret Missions, remade with redrawn art, full speech and a new 'Secret Missions 1.5' campaign</x:v>
      </x:c>
      <x:c r="S111" s="9" t="str">
        <x:v>Macintosh (1994)</x:v>
      </x:c>
      <x:c r="T111" s="9" t="str">
        <x:v>Full voice cast (uncredited — verify); no live actors</x:v>
      </x:c>
      <x:c r="U111" s="9" t="n">
        <x:v>1</x:v>
      </x:c>
      <x:c r="V111" s="9" t="str">
        <x:v>Yes</x:v>
      </x:c>
      <x:c r="W111" s="9" t="str">
        <x:v>Standard controller; 3DO Flightstick Pro</x:v>
      </x:c>
      <x:c r="X111" s="9" t="str">
        <x:v>Low</x:v>
      </x:c>
      <x:c r="Y111" s="9" t="str">
        <x:v>Original score</x:v>
      </x:c>
      <x:c r="Z111" s="9" t="str">
        <x:v>8–12 hr</x:v>
      </x:c>
      <x:c r="AA111" s="9" t="str">
        <x:v>The first Wing Commander rebuilt for 3DO with fully voiced, redrawn animated cutscenes — the bridge between the sprite original and WC3's movie-star FMV.</x:v>
      </x:c>
      <x:c r="AB111" s="9" t="str">
        <x:v>None known on 3DO (PC original had 'Origin -k' invulnerability)</x:v>
      </x:c>
      <x:c r="AC111" s="9" t="str">
        <x:v>In-engine animated cutscenes with digitized voices rather than streamed video; redrawn Tiger's Claw bar/briefing scenes</x:v>
      </x:c>
      <x:c r="AD111" s="9" t="str">
        <x:v>Medium; branching mission tree by performance</x:v>
      </x:c>
      <x:c r="AE111" s="9" t="str">
        <x:v>Winning and losing campaign tracks as in the original</x:v>
      </x:c>
      <x:c r="AF111" s="9" t="str">
        <x:v>Released 23 Mar 1994 for 3DO and Mac; includes a new third campaign and backstory on Tolwyn and stealth fighters. GamePro was negative; many fans dislike the redesigned ships.</x:v>
      </x:c>
      <x:c r="AG111" s="9" t="str">
        <x:v>NA (May 1994), JP EA Victor (9 Jul 1994), PAL EA (1994)</x:v>
      </x:c>
      <x:c r="AH111" s="9" t="str">
        <x:v>No (original PC Wing Commander on GOG)</x:v>
      </x:c>
      <x:c r="AI111" s="9" t="str">
        <x:v>Easy</x:v>
      </x:c>
      <x:c r="AJ111" s="9"/>
      <x:c r="AK111" s="9" t="str">
        <x:v>FMV content is minimal — animated, not streamed; included for completeness as WC3's predecessor.</x:v>
      </x:c>
      <x:c r="AL111" s="10" t="n">
        <x:v>19.49</x:v>
      </x:c>
      <x:c r="AM111" s="10" t="n">
        <x:v>44.61</x:v>
      </x:c>
      <x:c r="AN111" s="10" t="n">
        <x:v>104.17</x:v>
      </x:c>
      <x:c r="AO111" s="9" t="str">
        <x:v>2026-10-20</x:v>
      </x:c>
      <x:c r="AP111" s="11" t="str">
        <x:f>HYPERLINK("https://www.pricecharting.com/search-products?q=Super+Wing+Commander+3do&amp;type=prices","PriceCharting")</x:f>
        <x:v>PriceCharting</x:v>
      </x:c>
      <x:c r="AQ111" s="9"/>
      <x:c r="AR111" s="9"/>
      <x:c r="AS111" s="9"/>
      <x:c r="AT111" s="9"/>
      <x:c r="AU111" s="9"/>
      <x:c r="AV111" s="9"/>
      <x:c r="AW111" s="9"/>
      <x:c r="AX111" s="9"/>
      <x:c r="AY111" s="9" t="str">
        <x:v>75%</x:v>
      </x:c>
      <x:c r="AZ111" s="9" t="str">
        <x:v>3.9</x:v>
      </x:c>
      <x:c r="BA111" s="11" t="str">
        <x:f>HYPERLINK("https://www.mobygames.com/game/3do/super-wing-commander","MobyGames")</x:f>
        <x:v>MobyGames</x:v>
      </x:c>
      <x:c r="BB111" s="9"/>
      <x:c r="BC111" s="9"/>
      <x:c r="BD111" s="9"/>
      <x:c r="BE111" s="11" t="str">
        <x:f>HYPERLINK("https://en.wikipedia.org/wiki/Wing_Commander_(video_game)","Wikipedia")</x:f>
        <x:v>Wikipedia</x:v>
      </x:c>
      <x:c r="BF111" s="11" t="str">
        <x:f>HYPERLINK("https://backloggd.com/search/games/Super%20Wing%20Commander/","Backloggd")</x:f>
        <x:v>Backloggd</x:v>
      </x:c>
      <x:c r="BG111" s="9"/>
      <x:c r="BH111" s="9"/>
      <x:c r="BI111" s="12" t="str">
        <x:v>No</x:v>
      </x:c>
      <x:c r="BJ111" s="12" t="str"/>
      <x:c r="BK111" s="12" t="str">
        <x:v>No</x:v>
      </x:c>
      <x:c r="BL111" s="12" t="str"/>
      <x:c r="BM111" s="12" t="str"/>
      <x:c r="BN111" s="12" t="str"/>
      <x:c r="BO111" s="12" t="str"/>
      <x:c r="BP111" s="12" t="str"/>
      <x:c r="BQ111" s="12" t="str"/>
    </x:row>
    <x:row r="112">
      <x:c r="A112" s="9" t="str">
        <x:v>3do-44</x:v>
      </x:c>
      <x:c r="B112" s="9" t="str">
        <x:v>demolition-man</x:v>
      </x:c>
      <x:c r="C112" s="9" t="str">
        <x:v>3DO</x:v>
      </x:c>
      <x:c r="D112" s="9" t="str">
        <x:v>Demolition Man</x:v>
      </x:c>
      <x:c r="E112" s="9" t="str"/>
      <x:c r="F112" s="9" t="str">
        <x:v>Virgin Interactive with Alexandria (Wikipedia 3DO infobox)</x:v>
      </x:c>
      <x:c r="G112" s="9" t="str">
        <x:v>Virgin Interactive (NA/EU/JP; JP release Dec 9, 1994 per Wikipedia)</x:v>
      </x:c>
      <x:c r="H112" s="9" t="n">
        <x:v>1994</x:v>
      </x:c>
      <x:c r="I112" s="9" t="str">
        <x:v>Yes</x:v>
      </x:c>
      <x:c r="J112" s="9" t="str">
        <x:v>Yes</x:v>
      </x:c>
      <x:c r="K112" s="9" t="str">
        <x:v>Yes</x:v>
      </x:c>
      <x:c r="L112" s="9" t="str">
        <x:v>No</x:v>
      </x:c>
      <x:c r="M112" s="9" t="str">
        <x:v>Light-gun shooter / fighting / FPS / racing hybrid</x:v>
      </x:c>
      <x:c r="N112" s="9" t="str">
        <x:v>Live-action</x:v>
      </x:c>
      <x:c r="O112" s="9" t="n">
        <x:v>5</x:v>
      </x:c>
      <x:c r="P112" s="9" t="str">
        <x:v>Interactive movie</x:v>
      </x:c>
      <x:c r="Q112" s="9" t="str">
        <x:v>Released</x:v>
      </x:c>
      <x:c r="R112" s="9" t="str">
        <x:v>Film license (Demolition Man, 1993) made in tandem with the movie, with extra Stallone and Snipes footage shot for the game</x:v>
      </x:c>
      <x:c r="S112" s="9" t="str">
        <x:v>Different games on SNES, Genesis, Sega CD; Jaguar CD and PlayStation versions cancelled</x:v>
      </x:c>
      <x:c r="T112" s="9" t="str">
        <x:v>Sylvester Stallone, Wesley Snipes (exclusive footage); Jesse Ventura reportedly reprises his minion role</x:v>
      </x:c>
      <x:c r="U112" s="9" t="n">
        <x:v>1</x:v>
      </x:c>
      <x:c r="V112" s="9" t="str">
        <x:v>No (passwords)</x:v>
      </x:c>
      <x:c r="W112" s="9" t="str">
        <x:v>3DO GameGun (daisy-chainable with pad); standard controller</x:v>
      </x:c>
      <x:c r="X112" s="9" t="str">
        <x:v>HIGH</x:v>
      </x:c>
      <x:c r="Y112" s="9" t="str">
        <x:v>Warner Bros. film footage and the movie's soundtrack used directly</x:v>
      </x:c>
      <x:c r="Z112" s="9" t="str">
        <x:v>1–2 hr</x:v>
      </x:c>
      <x:c r="AA112" s="9" t="str">
        <x:v>Stallone filmed new scenes just for this disc — including telling you 'you suck' for picking easy — in a 16-level grab-bag of gun, fighting, maze and driving stages.</x:v>
      </x:c>
      <x:c r="AB112" s="9" t="str">
        <x:v>Debug mode: pause (P), then press LS, A, Up, Down, RS, Up; the password ends in PWR. B+Up/Down scrolls passwords: VRGN 1 to VRGN 5 open five secret Doom-style levels set in Virgin's offices; GMWNNR shows the winning scene, CRDTS the credits. (FMV World)</x:v>
      </x:c>
      <x:c r="AC112" s="9" t="str">
        <x:v>Windowed movie clips plus full-screen gallery backgrounds, ~15 fps Cinepak-grade</x:v>
      </x:c>
      <x:c r="AD112" s="9" t="str">
        <x:v>Three difficulty modes; fighting stages criticized for delayed attacks</x:v>
      </x:c>
      <x:c r="AE112" s="9" t="str">
        <x:v>Single ending following the film</x:v>
      </x:c>
      <x:c r="AF112" s="9" t="str">
        <x:v>Won Die Hard Game Fan's 1994 Movie Translation Game of the Year; Next Generation gave it 2/5. 9 gun levels, 4 Phoenix fights, 2 FPS mazes, 1 driving level.</x:v>
      </x:c>
      <x:c r="AG112" s="9" t="str">
        <x:v>NA (23 Nov 1994), JP (9 Dec 1994), PAL (1995)</x:v>
      </x:c>
      <x:c r="AH112" s="9" t="str">
        <x:v>No</x:v>
      </x:c>
      <x:c r="AI112" s="9" t="str">
        <x:v>Easy</x:v>
      </x:c>
      <x:c r="AJ112" s="9"/>
      <x:c r="AK112" s="9" t="str">
        <x:v>Wikipedia's 3DO infobox credits Virgin Interactive and Alexandria as developers and Virgin as publisher, JP Dec 9, 1994 and NA 1995.</x:v>
      </x:c>
      <x:c r="AL112" s="10" t="n">
        <x:v>32.61</x:v>
      </x:c>
      <x:c r="AM112" s="10" t="n">
        <x:v>90</x:v>
      </x:c>
      <x:c r="AN112" s="10" t="n">
        <x:v>129.99</x:v>
      </x:c>
      <x:c r="AO112" s="9" t="str">
        <x:v>2026-10-20</x:v>
      </x:c>
      <x:c r="AP112" s="11" t="str">
        <x:f>HYPERLINK("https://www.pricecharting.com/search-products?q=Demolition+Man+3do&amp;type=prices","PriceCharting")</x:f>
        <x:v>PriceCharting</x:v>
      </x:c>
      <x:c r="AQ112" s="9"/>
      <x:c r="AR112" s="9"/>
      <x:c r="AS112" s="9"/>
      <x:c r="AT112" s="9"/>
      <x:c r="AU112" s="9"/>
      <x:c r="AV112" s="9"/>
      <x:c r="AW112" s="9"/>
      <x:c r="AX112" s="9"/>
      <x:c r="AY112" s="9" t="str">
        <x:v>76%</x:v>
      </x:c>
      <x:c r="AZ112" s="9" t="str">
        <x:v>3.5</x:v>
      </x:c>
      <x:c r="BA112" s="11" t="str">
        <x:f>HYPERLINK("https://www.mobygames.com/game/12449/","MobyGames")</x:f>
        <x:v>MobyGames</x:v>
      </x:c>
      <x:c r="BB112" s="9"/>
      <x:c r="BC112" s="9"/>
      <x:c r="BD112" s="9"/>
      <x:c r="BE112" s="11" t="str">
        <x:f>HYPERLINK("https://en.wikipedia.org/wiki/Demolition_Man_(video_game)","Wikipedia")</x:f>
        <x:v>Wikipedia</x:v>
      </x:c>
      <x:c r="BF112" s="11" t="str">
        <x:f>HYPERLINK("https://backloggd.com/search/games/Demolition%20Man/","Backloggd")</x:f>
        <x:v>Backloggd</x:v>
      </x:c>
      <x:c r="BG112" s="9"/>
      <x:c r="BH112" s="9"/>
      <x:c r="BI112" s="12" t="str">
        <x:v>No</x:v>
      </x:c>
      <x:c r="BJ112" s="12" t="str"/>
      <x:c r="BK112" s="12" t="str">
        <x:v>No</x:v>
      </x:c>
      <x:c r="BL112" s="12" t="str"/>
      <x:c r="BM112" s="12" t="str"/>
      <x:c r="BN112" s="12" t="str"/>
      <x:c r="BO112" s="12" t="str"/>
      <x:c r="BP112" s="12" t="str"/>
      <x:c r="BQ112" s="12" t="str"/>
    </x:row>
    <x:row r="113">
      <x:c r="A113" s="9" t="str">
        <x:v>3do-45</x:v>
      </x:c>
      <x:c r="B113" s="9" t="str">
        <x:v>phoenix-3</x:v>
      </x:c>
      <x:c r="C113" s="9" t="str">
        <x:v>3DO</x:v>
      </x:c>
      <x:c r="D113" s="9" t="str">
        <x:v>Phoenix 3</x:v>
      </x:c>
      <x:c r="E113" s="9" t="str"/>
      <x:c r="F113" s="9" t="str">
        <x:v>Gray Matter</x:v>
      </x:c>
      <x:c r="G113" s="9" t="str">
        <x:v>The 3DO Company / Studio 3DO (NA/EU)</x:v>
      </x:c>
      <x:c r="H113" s="9" t="n">
        <x:v>1995</x:v>
      </x:c>
      <x:c r="I113" s="9" t="str">
        <x:v>Yes</x:v>
      </x:c>
      <x:c r="J113" s="9" t="str">
        <x:v>No</x:v>
      </x:c>
      <x:c r="K113" s="9" t="str">
        <x:v>Yes</x:v>
      </x:c>
      <x:c r="L113" s="9" t="str">
        <x:v>No</x:v>
      </x:c>
      <x:c r="M113" s="9" t="str">
        <x:v>Space combat + side-scrolling run-and-gun</x:v>
      </x:c>
      <x:c r="N113" s="9" t="str">
        <x:v>Live-action + pre-rendered CG</x:v>
      </x:c>
      <x:c r="O113" s="9" t="n">
        <x:v>4</x:v>
      </x:c>
      <x:c r="P113" s="9" t="str">
        <x:v>FMV adventure</x:v>
      </x:c>
      <x:c r="Q113" s="9" t="str">
        <x:v>Released</x:v>
      </x:c>
      <x:c r="R113" s="9" t="str">
        <x:v>Original production</x:v>
      </x:c>
      <x:c r="S113" s="9" t="str">
        <x:v>3DO exclusive</x:v>
      </x:c>
      <x:c r="T113" s="9" t="str">
        <x:v>Unnamed live actors composited into pre-rendered sets as pilot Derek Freeman and crew — verify</x:v>
      </x:c>
      <x:c r="U113" s="9" t="n">
        <x:v>1</x:v>
      </x:c>
      <x:c r="V113" s="9" t="str">
        <x:v>Unknown — verify</x:v>
      </x:c>
      <x:c r="W113" s="9" t="str">
        <x:v>Standard controller; 3DO Flightstick Pro in space segments</x:v>
      </x:c>
      <x:c r="X113" s="9" t="str">
        <x:v>Low</x:v>
      </x:c>
      <x:c r="Y113" s="9" t="str">
        <x:v>Original music</x:v>
      </x:c>
      <x:c r="Z113" s="9" t="str">
        <x:v>3–5 hr</x:v>
      </x:c>
      <x:c r="AA113" s="9" t="str">
        <x:v>Gray Matter's 3DO swan song alternates cockpit dogfights with Earthworm Jim-style platforming, glued together by digitized actors inside CG sets — and level data streamed inside the video.</x:v>
      </x:c>
      <x:c r="AB113" s="9" t="str">
        <x:v>Hold RS at title and enter Up, Up, Down, Down, Left, Left, Right, Right for cheat menu (invincibility, all guns, gravity, psychedelic mode); Hold RS, Down, Up, Left, Left, Up, Down, Down, Right shows hidden credits</x:v>
      </x:c>
      <x:c r="AC113" s="9" t="str">
        <x:v>Windowed live-action over pre-rendered backgrounds, ~15 fps</x:v>
      </x:c>
      <x:c r="AD113" s="9" t="str">
        <x:v>Medium-hard shooter/platformer mix</x:v>
      </x:c>
      <x:c r="AE113" s="9" t="str">
        <x:v>Single ending</x:v>
      </x:c>
      <x:c r="AF113" s="9" t="str">
        <x:v>Programmer Stefan Posthuma interleaved level data into the FMV stream so levels loaded during cutscenes, which meant videos could not be skipped. Never ported elsewhere.</x:v>
      </x:c>
      <x:c r="AG113" s="9" t="str">
        <x:v>NA 1995; PAL Dec 1995</x:v>
      </x:c>
      <x:c r="AH113" s="9" t="str">
        <x:v>No</x:v>
      </x:c>
      <x:c r="AI113" s="9" t="str">
        <x:v>Easy</x:v>
      </x:c>
      <x:c r="AJ113" s="9"/>
      <x:c r="AK113" s="9" t="str">
        <x:v>Publisher shown as both The 3DO Company and Studio 3DO on databases; sparse review coverage.</x:v>
      </x:c>
      <x:c r="AL113" s="10" t="n">
        <x:v>22.18</x:v>
      </x:c>
      <x:c r="AM113" s="10" t="n">
        <x:v>32.4</x:v>
      </x:c>
      <x:c r="AN113" s="10" t="n">
        <x:v>95.6</x:v>
      </x:c>
      <x:c r="AO113" s="9" t="str">
        <x:v>2026-10-20</x:v>
      </x:c>
      <x:c r="AP113" s="11" t="str">
        <x:f>HYPERLINK("https://www.pricecharting.com/search-products?q=Phoenix+3+3do&amp;type=prices","PriceCharting")</x:f>
        <x:v>PriceCharting</x:v>
      </x:c>
      <x:c r="AQ113" s="9"/>
      <x:c r="AR113" s="9"/>
      <x:c r="AS113" s="9"/>
      <x:c r="AT113" s="9"/>
      <x:c r="AU113" s="9"/>
      <x:c r="AV113" s="9"/>
      <x:c r="AW113" s="9"/>
      <x:c r="AX113" s="9"/>
      <x:c r="AY113" s="9" t="str">
        <x:v>59%</x:v>
      </x:c>
      <x:c r="AZ113" s="9" t="str">
        <x:v>3.4</x:v>
      </x:c>
      <x:c r="BA113" s="11" t="str">
        <x:f>HYPERLINK("https://www.mobygames.com/game/3do/phoenix-3","MobyGames")</x:f>
        <x:v>MobyGames</x:v>
      </x:c>
      <x:c r="BB113" s="9"/>
      <x:c r="BC113" s="9"/>
      <x:c r="BD113" s="9"/>
      <x:c r="BE113" s="9"/>
      <x:c r="BF113" s="11" t="str">
        <x:f>HYPERLINK("https://backloggd.com/search/games/Phoenix%203/","Backloggd")</x:f>
        <x:v>Backloggd</x:v>
      </x:c>
      <x:c r="BG113" s="9"/>
      <x:c r="BH113" s="9"/>
      <x:c r="BI113" s="12" t="str">
        <x:v>No</x:v>
      </x:c>
      <x:c r="BJ113" s="12" t="str"/>
      <x:c r="BK113" s="12" t="str">
        <x:v>No</x:v>
      </x:c>
      <x:c r="BL113" s="12" t="str"/>
      <x:c r="BM113" s="12" t="str"/>
      <x:c r="BN113" s="12" t="str"/>
      <x:c r="BO113" s="12" t="str"/>
      <x:c r="BP113" s="12" t="str"/>
      <x:c r="BQ113" s="12" t="str"/>
    </x:row>
    <x:row r="114">
      <x:c r="A114" s="9" t="str">
        <x:v>3do-46</x:v>
      </x:c>
      <x:c r="B114" s="9" t="str">
        <x:v>panzer-general</x:v>
      </x:c>
      <x:c r="C114" s="9" t="str">
        <x:v>3DO</x:v>
      </x:c>
      <x:c r="D114" s="9" t="str">
        <x:v>Panzer General</x:v>
      </x:c>
      <x:c r="E114" s="9" t="str"/>
      <x:c r="F114" s="9" t="str">
        <x:v>Strategic Simulations, Inc.</x:v>
      </x:c>
      <x:c r="G114" s="9" t="str">
        <x:v>SSI (NA), Mindscape (EU)</x:v>
      </x:c>
      <x:c r="H114" s="9" t="n">
        <x:v>1995</x:v>
      </x:c>
      <x:c r="I114" s="9" t="str">
        <x:v>Yes</x:v>
      </x:c>
      <x:c r="J114" s="9" t="str">
        <x:v>No</x:v>
      </x:c>
      <x:c r="K114" s="9" t="str">
        <x:v>Yes</x:v>
      </x:c>
      <x:c r="L114" s="9" t="str">
        <x:v>No</x:v>
      </x:c>
      <x:c r="M114" s="9" t="str">
        <x:v>Turn-based wargame</x:v>
      </x:c>
      <x:c r="N114" s="9" t="str">
        <x:v>Live-action</x:v>
      </x:c>
      <x:c r="O114" s="9" t="n">
        <x:v>1</x:v>
      </x:c>
      <x:c r="P114" s="9" t="str">
        <x:v>Cutscenes only</x:v>
      </x:c>
      <x:c r="Q114" s="9" t="str">
        <x:v>Released</x:v>
      </x:c>
      <x:c r="R114" s="9" t="str">
        <x:v>PC original (SSI, 1994); console port with archival WWII newsreel footage</x:v>
      </x:c>
      <x:c r="S114" s="9" t="str">
        <x:v>DOS/Windows, Mac, PlayStation (1996)</x:v>
      </x:c>
      <x:c r="T114" s="9" t="str">
        <x:v>—</x:v>
      </x:c>
      <x:c r="U114" s="9" t="n">
        <x:v>1</x:v>
      </x:c>
      <x:c r="V114" s="9" t="str">
        <x:v>Yes</x:v>
      </x:c>
      <x:c r="W114" s="9" t="str">
        <x:v>Standard controller; 3DO mouse — verify</x:v>
      </x:c>
      <x:c r="X114" s="9" t="str">
        <x:v>Low–Med</x:v>
      </x:c>
      <x:c r="Y114" s="9" t="str">
        <x:v>Archival WWII newsreel clips and martial music in intro/briefings — mostly public domain but occasionally matched</x:v>
      </x:c>
      <x:c r="Z114" s="9" t="str">
        <x:v>20–40 hr campaign</x:v>
      </x:c>
      <x:c r="AA114" s="9" t="str">
        <x:v>A faithful SSI hex wargame on a console built for FMV — the newsreel briefings are the only video, and critics still called it the deepest game on the system.</x:v>
      </x:c>
      <x:c r="AB114" s="9" t="str">
        <x:v>None known on 3DO (PC has scenario/prestige editors)</x:v>
      </x:c>
      <x:c r="AC114" s="9" t="str">
        <x:v>Brief windowed black-and-white archival footage and battle animations (can be disabled); FMV marginal</x:v>
      </x:c>
      <x:c r="AD114" s="9" t="str">
        <x:v>High for newcomers; multiple campaigns</x:v>
      </x:c>
      <x:c r="AE114" s="9" t="str">
        <x:v>Campaign branches by victory type (major/minor/loss) up to invasion of the US or defeat</x:v>
      </x:c>
      <x:c r="AF114" s="9" t="str">
        <x:v>GamePro praised the port's accuracy while disliking strategy games generally; Next Generation 4/5, EGM 7.125/10. A Jaguar version was never made.</x:v>
      </x:c>
      <x:c r="AG114" s="9" t="str">
        <x:v>NA SSI release 1995; PAL Mindscape release 1995</x:v>
      </x:c>
      <x:c r="AH114" s="9" t="str">
        <x:v>No (PC version on GOG)</x:v>
      </x:c>
      <x:c r="AI114" s="9" t="str">
        <x:v>Easy</x:v>
      </x:c>
      <x:c r="AJ114" s="9"/>
      <x:c r="AK114" s="9" t="str">
        <x:v>FMV content minimal; included as borderline. Extent of newsreel video on 3DO specifically: Unknown — verify.</x:v>
      </x:c>
      <x:c r="AL114" s="10" t="n">
        <x:v>12.21</x:v>
      </x:c>
      <x:c r="AM114" s="10" t="n">
        <x:v>41</x:v>
      </x:c>
      <x:c r="AN114" s="10" t="n">
        <x:v>99</x:v>
      </x:c>
      <x:c r="AO114" s="9" t="str">
        <x:v>2026-10-20</x:v>
      </x:c>
      <x:c r="AP114" s="11" t="str">
        <x:f>HYPERLINK("https://www.pricecharting.com/search-products?q=Panzer+General+3do&amp;type=prices","PriceCharting")</x:f>
        <x:v>PriceCharting</x:v>
      </x:c>
      <x:c r="AQ114" s="9"/>
      <x:c r="AR114" s="9"/>
      <x:c r="AS114" s="9"/>
      <x:c r="AT114" s="9"/>
      <x:c r="AU114" s="9"/>
      <x:c r="AV114" s="9"/>
      <x:c r="AW114" s="9"/>
      <x:c r="AX114" s="9"/>
      <x:c r="AY114" s="9" t="str">
        <x:v>78%</x:v>
      </x:c>
      <x:c r="AZ114" s="9" t="str">
        <x:v>4.4</x:v>
      </x:c>
      <x:c r="BA114" s="11" t="str">
        <x:f>HYPERLINK("https://www.mobygames.com/game/3do/panzer-general","MobyGames")</x:f>
        <x:v>MobyGames</x:v>
      </x:c>
      <x:c r="BB114" s="9"/>
      <x:c r="BC114" s="9"/>
      <x:c r="BD114" s="9"/>
      <x:c r="BE114" s="11" t="str">
        <x:f>HYPERLINK("https://en.wikipedia.org/wiki/Panzer_General","Wikipedia")</x:f>
        <x:v>Wikipedia</x:v>
      </x:c>
      <x:c r="BF114" s="11" t="str">
        <x:f>HYPERLINK("https://backloggd.com/search/games/Panzer%20General/","Backloggd")</x:f>
        <x:v>Backloggd</x:v>
      </x:c>
      <x:c r="BG114" s="9"/>
      <x:c r="BH114" s="9"/>
      <x:c r="BI114" s="12" t="str">
        <x:v>No</x:v>
      </x:c>
      <x:c r="BJ114" s="12" t="str"/>
      <x:c r="BK114" s="12" t="str">
        <x:v>No</x:v>
      </x:c>
      <x:c r="BL114" s="12" t="str"/>
      <x:c r="BM114" s="12" t="str"/>
      <x:c r="BN114" s="12" t="str"/>
      <x:c r="BO114" s="12" t="str"/>
      <x:c r="BP114" s="12" t="str"/>
      <x:c r="BQ114" s="12" t="str"/>
    </x:row>
    <x:row r="115">
      <x:c r="A115" s="9" t="str">
        <x:v>3do-47</x:v>
      </x:c>
      <x:c r="B115" s="9" t="str">
        <x:v>road-rash</x:v>
      </x:c>
      <x:c r="C115" s="9" t="str">
        <x:v>3DO</x:v>
      </x:c>
      <x:c r="D115" s="9" t="str">
        <x:v>Road Rash</x:v>
      </x:c>
      <x:c r="E115" s="9" t="str">
        <x:v>ロードラッシュ (JP)</x:v>
      </x:c>
      <x:c r="F115" s="9" t="str">
        <x:v>Monkey Do Productions / Electronic Arts</x:v>
      </x:c>
      <x:c r="G115" s="9" t="str">
        <x:v>Electronic Arts (NA/EU), Electronic Arts Victor (JP)</x:v>
      </x:c>
      <x:c r="H115" s="9" t="n">
        <x:v>1994</x:v>
      </x:c>
      <x:c r="I115" s="9" t="str">
        <x:v>Yes</x:v>
      </x:c>
      <x:c r="J115" s="9" t="str">
        <x:v>Yes</x:v>
      </x:c>
      <x:c r="K115" s="9" t="str">
        <x:v>Yes</x:v>
      </x:c>
      <x:c r="L115" s="9" t="str">
        <x:v>No</x:v>
      </x:c>
      <x:c r="M115" s="9" t="str">
        <x:v>Motorcycle combat racing</x:v>
      </x:c>
      <x:c r="N115" s="9" t="str">
        <x:v>Live-action</x:v>
      </x:c>
      <x:c r="O115" s="9" t="n">
        <x:v>3</x:v>
      </x:c>
      <x:c r="P115" s="9" t="str">
        <x:v>Cutscenes only</x:v>
      </x:c>
      <x:c r="Q115" s="9" t="str">
        <x:v>Released</x:v>
      </x:c>
      <x:c r="R115" s="9" t="str">
        <x:v>Original production; 32-bit reboot of EA's Genesis Road Rash series</x:v>
      </x:c>
      <x:c r="S115" s="9" t="str">
        <x:v>Sega CD (1995), PlayStation, Saturn, Windows (1996); Jaguar CD and M2 versions cancelled</x:v>
      </x:c>
      <x:c r="T115" s="9" t="str">
        <x:v>Riders played by crew and local AFM racers; Randy Breen (EA) as the motor cops; directed by Rod Gross</x:v>
      </x:c>
      <x:c r="U115" s="9" t="n">
        <x:v>1</x:v>
      </x:c>
      <x:c r="V115" s="9" t="str">
        <x:v>Yes</x:v>
      </x:c>
      <x:c r="W115" s="9" t="str">
        <x:v>Standard 3DO controller</x:v>
      </x:c>
      <x:c r="X115" s="9" t="str">
        <x:v>HIGH</x:v>
      </x:c>
      <x:c r="Y115" s="9" t="str">
        <x:v>A&amp;M Records soundtrack: Soundgarden, Monster Magnet, Paw, Swervedriver, Therapy?, Hammerbox (menus/cutscenes); in-race score is original Don Veca music</x:v>
      </x:c>
      <x:c r="Z115" s="9" t="str">
        <x:v>4–6 hr</x:v>
      </x:c>
      <x:c r="AA115" s="9" t="str">
        <x:v>EA wrecked a rented Ducati filming 25 minutes of grunge-scored biker-gang video for the 3DO's best-selling game.</x:v>
      </x:c>
      <x:c r="AB115" s="9" t="str">
        <x:v>No codes listed. Hidden trick: brake to a stop, then press LS+RS and Up to get off the bike and walk around. (GameFAQs)</x:v>
      </x:c>
      <x:c r="AC115" s="9" t="str">
        <x:v>~25 min of live-action FMV; roughly 2/3-screen window, ~15 fps Cinepak-style compression, heavy grain</x:v>
      </x:c>
      <x:c r="AD115" s="9" t="str">
        <x:v>Moderate; five levels with rising opponent aggression and faster bikes</x:v>
      </x:c>
      <x:c r="AE115" s="9" t="str">
        <x:v>Single ending after Level 5; win/lose/wipeout/busted cutscene variants between races</x:v>
      </x:c>
      <x:c r="AF115" s="9" t="str">
        <x:v>The yellow Yamaha FZR1000 in the videos was producer Randy Breen's own bike. The wrecked red Ducati from a botched stunt was later displayed in EA's corporate lobby.</x:v>
      </x:c>
      <x:c r="AG115" s="9" t="str">
        <x:v>NA long box; EU big box; JP release via EA Victor; later Panasonic bundle listings in UK</x:v>
      </x:c>
      <x:c r="AH115" s="9" t="str">
        <x:v>No</x:v>
      </x:c>
      <x:c r="AI115" s="9" t="str">
        <x:v>Easy</x:v>
      </x:c>
      <x:c r="AJ115" s="9"/>
      <x:c r="AK115" s="9" t="str">
        <x:v>EGM Best Driving Game and Best 3DO Game of 1994. Only the Sega CD version plays the licensed songs during races.</x:v>
      </x:c>
      <x:c r="AL115" s="10" t="n">
        <x:v>33.45</x:v>
      </x:c>
      <x:c r="AM115" s="10" t="n">
        <x:v>65.72</x:v>
      </x:c>
      <x:c r="AN115" s="10" t="n">
        <x:v>289.27</x:v>
      </x:c>
      <x:c r="AO115" s="9" t="str">
        <x:v>2026-10-20</x:v>
      </x:c>
      <x:c r="AP115" s="11" t="str">
        <x:f>HYPERLINK("https://www.pricecharting.com/search-products?q=Road+Rash+3do&amp;type=prices","PriceCharting")</x:f>
        <x:v>PriceCharting</x:v>
      </x:c>
      <x:c r="AQ115" s="9"/>
      <x:c r="AR115" s="9"/>
      <x:c r="AS115" s="9"/>
      <x:c r="AT115" s="9"/>
      <x:c r="AU115" s="9"/>
      <x:c r="AV115" s="9"/>
      <x:c r="AW115" s="9"/>
      <x:c r="AX115" s="9"/>
      <x:c r="AY115" s="9" t="str">
        <x:v>80%</x:v>
      </x:c>
      <x:c r="AZ115" s="9" t="str">
        <x:v>3.7</x:v>
      </x:c>
      <x:c r="BA115" s="11" t="str">
        <x:f>HYPERLINK("https://www.mobygames.com/game/17194/road-rash/","MobyGames")</x:f>
        <x:v>MobyGames</x:v>
      </x:c>
      <x:c r="BB115" s="9"/>
      <x:c r="BC115" s="9"/>
      <x:c r="BD115" s="9"/>
      <x:c r="BE115" s="11" t="str">
        <x:f>HYPERLINK("https://en.wikipedia.org/wiki/Road_Rash_(1994_video_game)","Wikipedia")</x:f>
        <x:v>Wikipedia</x:v>
      </x:c>
      <x:c r="BF115" s="11" t="str">
        <x:f>HYPERLINK("https://backloggd.com/search/games/Road%20Rash/","Backloggd")</x:f>
        <x:v>Backloggd</x:v>
      </x:c>
      <x:c r="BG115" s="9"/>
      <x:c r="BH115" s="9"/>
      <x:c r="BI115" s="12" t="str">
        <x:v>No</x:v>
      </x:c>
      <x:c r="BJ115" s="12" t="str"/>
      <x:c r="BK115" s="12" t="str">
        <x:v>No</x:v>
      </x:c>
      <x:c r="BL115" s="12" t="str"/>
      <x:c r="BM115" s="12" t="str"/>
      <x:c r="BN115" s="12" t="str"/>
      <x:c r="BO115" s="12" t="str"/>
      <x:c r="BP115" s="12" t="str"/>
      <x:c r="BQ115" s="12" t="str"/>
    </x:row>
    <x:row r="116">
      <x:c r="A116" s="9" t="str">
        <x:v>3do-48</x:v>
      </x:c>
      <x:c r="B116" s="9" t="str">
        <x:v>the-need-for-speed</x:v>
      </x:c>
      <x:c r="C116" s="9" t="str">
        <x:v>3DO</x:v>
      </x:c>
      <x:c r="D116" s="9" t="str">
        <x:v>The Need for Speed</x:v>
      </x:c>
      <x:c r="E116" s="9" t="str">
        <x:v>Road &amp; Track Presents: The Need for Speed; Road &amp; Track Presents: OverDrivin' (JP)</x:v>
      </x:c>
      <x:c r="F116" s="9" t="str">
        <x:v>EA Canada (Pioneer Productions)</x:v>
      </x:c>
      <x:c r="G116" s="9" t="str">
        <x:v>Electronic Arts (NA/EU), Electronic Arts Victor (JP)</x:v>
      </x:c>
      <x:c r="H116" s="9" t="n">
        <x:v>1994</x:v>
      </x:c>
      <x:c r="I116" s="9" t="str">
        <x:v>Yes</x:v>
      </x:c>
      <x:c r="J116" s="9" t="str">
        <x:v>Yes</x:v>
      </x:c>
      <x:c r="K116" s="9" t="str">
        <x:v>Yes</x:v>
      </x:c>
      <x:c r="L116" s="9" t="str">
        <x:v>No</x:v>
      </x:c>
      <x:c r="M116" s="9" t="str">
        <x:v>Racing / driving sim</x:v>
      </x:c>
      <x:c r="N116" s="9" t="str">
        <x:v>Live-action</x:v>
      </x:c>
      <x:c r="O116" s="9" t="n">
        <x:v>2</x:v>
      </x:c>
      <x:c r="P116" s="9" t="str">
        <x:v>Cutscenes only</x:v>
      </x:c>
      <x:c r="Q116" s="9" t="str">
        <x:v>Released</x:v>
      </x:c>
      <x:c r="R116" s="9" t="str">
        <x:v>Original production in partnership with Road &amp; Track magazine; 3DO is the original platform</x:v>
      </x:c>
      <x:c r="S116" s="9" t="str">
        <x:v>DOS (Special Edition 1995), PlayStation, Saturn (1996), Windows SE (1996); Jaguar CD port cancelled</x:v>
      </x:c>
      <x:c r="T116" s="9" t="str">
        <x:v>Unnamed actor as the 'X-Man' rival; real supercars on camera</x:v>
      </x:c>
      <x:c r="U116" s="9" t="n">
        <x:v>1</x:v>
      </x:c>
      <x:c r="V116" s="9" t="str">
        <x:v>Yes</x:v>
      </x:c>
      <x:c r="W116" s="9" t="str">
        <x:v>Standard 3DO controller</x:v>
      </x:c>
      <x:c r="X116" s="9" t="str">
        <x:v>Low–Med</x:v>
      </x:c>
      <x:c r="Y116" s="9" t="str">
        <x:v>Original music under car showcase videos; licensed car manufacturer footage unlikely to be claimed</x:v>
      </x:c>
      <x:c r="Z116" s="9" t="str">
        <x:v>2–3 hr</x:v>
      </x:c>
      <x:c r="AA116" s="9" t="str">
        <x:v>The franchise that became NFS began as a 3DO car-magazine showcase with live-action road videos of eight exotics.</x:v>
      </x:c>
      <x:c r="AB116" s="9" t="str">
        <x:v>Win the tournament to unlock Lost Vegas; a second win unlocks rally and mirrored modes. GameFAQs lists button and password codes only for the PlayStation and Saturn versions.</x:v>
      </x:c>
      <x:c r="AC116" s="9" t="str">
        <x:v>Short live-action car showcase clips and X-Man taunts; reduced window, ~15 fps, Cinepak-quality</x:v>
      </x:c>
      <x:c r="AD116" s="9" t="str">
        <x:v>Moderate; police and traffic on three point-to-point tracks</x:v>
      </x:c>
      <x:c r="AE116" s="9" t="str">
        <x:v>No story ending; tournament completion unlocks bonus content</x:v>
      </x:c>
      <x:c r="AF116" s="9" t="str">
        <x:v>Road &amp; Track engineers helped tune vehicle handling and gear-lever audio. Development shared staff with Test Drive and was co-developed by Pioneer Productions.</x:v>
      </x:c>
      <x:c r="AG116" s="9" t="str">
        <x:v>NA long box; JP 'OverDrivin'' with Nissan-sponsored spin-offs on later platforms; Special Edition only on PC</x:v>
      </x:c>
      <x:c r="AH116" s="9" t="str">
        <x:v>No</x:v>
      </x:c>
      <x:c r="AI116" s="9" t="str">
        <x:v>Easy</x:v>
      </x:c>
      <x:c r="AJ116" s="9"/>
      <x:c r="AK116" s="9" t="str">
        <x:v>JP 3DO release c. Dec 9 1994 per citation. Next Generation gave the 3DO version just 2/5.</x:v>
      </x:c>
      <x:c r="AL116" s="10" t="n">
        <x:v>24.66</x:v>
      </x:c>
      <x:c r="AM116" s="10" t="n">
        <x:v>52.41</x:v>
      </x:c>
      <x:c r="AN116" s="10" t="n">
        <x:v>229.99</x:v>
      </x:c>
      <x:c r="AO116" s="9" t="str">
        <x:v>2026-10-20</x:v>
      </x:c>
      <x:c r="AP116" s="11" t="str">
        <x:f>HYPERLINK("https://www.pricecharting.com/search-products?q=The+Need+for+Speed+3do&amp;type=prices","PriceCharting")</x:f>
        <x:v>PriceCharting</x:v>
      </x:c>
      <x:c r="AQ116" s="9"/>
      <x:c r="AR116" s="9"/>
      <x:c r="AS116" s="9"/>
      <x:c r="AT116" s="9"/>
      <x:c r="AU116" s="9"/>
      <x:c r="AV116" s="9"/>
      <x:c r="AW116" s="9"/>
      <x:c r="AX116" s="9"/>
      <x:c r="AY116" s="9" t="str">
        <x:v>81%</x:v>
      </x:c>
      <x:c r="AZ116" s="9" t="str">
        <x:v>4.0</x:v>
      </x:c>
      <x:c r="BA116" s="11" t="str">
        <x:f>HYPERLINK("https://www.mobygames.com/game/3do/need-for-speed","MobyGames")</x:f>
        <x:v>MobyGames</x:v>
      </x:c>
      <x:c r="BB116" s="9"/>
      <x:c r="BC116" s="9"/>
      <x:c r="BD116" s="9"/>
      <x:c r="BE116" s="11" t="str">
        <x:f>HYPERLINK("https://en.wikipedia.org/wiki/The_Need_for_Speed","Wikipedia")</x:f>
        <x:v>Wikipedia</x:v>
      </x:c>
      <x:c r="BF116" s="11" t="str">
        <x:f>HYPERLINK("https://backloggd.com/search/games/The%20Need%20for%20Speed/","Backloggd")</x:f>
        <x:v>Backloggd</x:v>
      </x:c>
      <x:c r="BG116" s="9"/>
      <x:c r="BH116" s="9"/>
      <x:c r="BI116" s="12" t="str">
        <x:v>No</x:v>
      </x:c>
      <x:c r="BJ116" s="12" t="str"/>
      <x:c r="BK116" s="12" t="str">
        <x:v>No</x:v>
      </x:c>
      <x:c r="BL116" s="12" t="str"/>
      <x:c r="BM116" s="12" t="str"/>
      <x:c r="BN116" s="12" t="str"/>
      <x:c r="BO116" s="12" t="str"/>
      <x:c r="BP116" s="12" t="str"/>
      <x:c r="BQ116" s="12" t="str"/>
    </x:row>
    <x:row r="117">
      <x:c r="A117" s="9" t="str">
        <x:v>3do-49</x:v>
      </x:c>
      <x:c r="B117" s="9" t="str">
        <x:v>crash-n-burn</x:v>
      </x:c>
      <x:c r="C117" s="9" t="str">
        <x:v>3DO</x:v>
      </x:c>
      <x:c r="D117" s="9" t="str">
        <x:v>Crash 'n Burn</x:v>
      </x:c>
      <x:c r="E117" s="9" t="str"/>
      <x:c r="F117" s="9" t="str">
        <x:v>Crystal Dynamics</x:v>
      </x:c>
      <x:c r="G117" s="9" t="str">
        <x:v>Crystal Dynamics (NA), Panasonic / Crystal Dynamics (JP) — verify</x:v>
      </x:c>
      <x:c r="H117" s="9" t="n">
        <x:v>1993</x:v>
      </x:c>
      <x:c r="I117" s="9" t="str">
        <x:v>Yes</x:v>
      </x:c>
      <x:c r="J117" s="9" t="str">
        <x:v>Yes</x:v>
      </x:c>
      <x:c r="K117" s="9" t="str">
        <x:v>Yes</x:v>
      </x:c>
      <x:c r="L117" s="9" t="str">
        <x:v>No</x:v>
      </x:c>
      <x:c r="M117" s="9" t="str">
        <x:v>Vehicular combat racing</x:v>
      </x:c>
      <x:c r="N117" s="9" t="str">
        <x:v>Live-action</x:v>
      </x:c>
      <x:c r="O117" s="9" t="n">
        <x:v>2</x:v>
      </x:c>
      <x:c r="P117" s="9" t="str">
        <x:v>Cutscenes only</x:v>
      </x:c>
      <x:c r="Q117" s="9" t="str">
        <x:v>Released</x:v>
      </x:c>
      <x:c r="R117" s="9" t="str">
        <x:v>Original production; 3DO launch title</x:v>
      </x:c>
      <x:c r="S117" s="9" t="str">
        <x:v>None (3DO exclusive)</x:v>
      </x:c>
      <x:c r="T117" s="9" t="str">
        <x:v>Unnamed actors as the six drivers: Fang, Druger, Tasman Twix, Max Amillion, Klaw, Rocker</x:v>
      </x:c>
      <x:c r="U117" s="9" t="n">
        <x:v>1</x:v>
      </x:c>
      <x:c r="V117" s="9" t="str">
        <x:v>Yes</x:v>
      </x:c>
      <x:c r="W117" s="9" t="str">
        <x:v>Standard 3DO controller</x:v>
      </x:c>
      <x:c r="X117" s="9" t="str">
        <x:v>Low</x:v>
      </x:c>
      <x:c r="Y117" s="9" t="str"/>
      <x:c r="Z117" s="9" t="str">
        <x:v>3–5 hr</x:v>
      </x:c>
      <x:c r="AA117" s="9" t="str">
        <x:v>The only game on shelves the day 3DO launched, padded with hammy live-action death threats from costumed drivers.</x:v>
      </x:c>
      <x:c r="AB117" s="9" t="str">
        <x:v>None known</x:v>
      </x:c>
      <x:c r="AC117" s="9" t="str">
        <x:v>Short live-action driver intro/taunt clips in a reduced window; ~15 fps, grainy early 3DO codec</x:v>
      </x:c>
      <x:c r="AD117" s="9" t="str">
        <x:v>Moderate to hard; no multiplayer, long tournament grind</x:v>
      </x:c>
      <x:c r="AE117" s="9" t="str">
        <x:v>Single ending on winning the tournament</x:v>
      </x:c>
      <x:c r="AF117" s="9" t="str">
        <x:v>Pack-in for the original Panasonic FZ-1 and the system's sole launch-day title. Mark Cerny is credited as designer; the game is set in 2044.</x:v>
      </x:c>
      <x:c r="AG117" s="9" t="str">
        <x:v>Pack-in disc with FZ-1; separate retail long box; JP release Mar 26 1994</x:v>
      </x:c>
      <x:c r="AH117" s="9" t="str">
        <x:v>No</x:v>
      </x:c>
      <x:c r="AI117" s="9" t="str">
        <x:v>Easy</x:v>
      </x:c>
      <x:c r="AJ117" s="9"/>
      <x:c r="AK117" s="9" t="str">
        <x:v>GameFan 1993 Megaward Best Driving Game (3DO). Actor names not documented on Wikipedia/Giant Bomb.</x:v>
      </x:c>
      <x:c r="AL117" s="10" t="n">
        <x:v>19.77</x:v>
      </x:c>
      <x:c r="AM117" s="10" t="n">
        <x:v>29.99</x:v>
      </x:c>
      <x:c r="AN117" s="10" t="n">
        <x:v>197.5</x:v>
      </x:c>
      <x:c r="AO117" s="9" t="str">
        <x:v>2026-10-20</x:v>
      </x:c>
      <x:c r="AP117" s="11" t="str">
        <x:f>HYPERLINK("https://www.pricecharting.com/search-products?q=Crash+%27n+Burn+3do&amp;type=prices","PriceCharting")</x:f>
        <x:v>PriceCharting</x:v>
      </x:c>
      <x:c r="AQ117" s="9"/>
      <x:c r="AR117" s="9"/>
      <x:c r="AS117" s="9"/>
      <x:c r="AT117" s="9"/>
      <x:c r="AU117" s="9"/>
      <x:c r="AV117" s="9"/>
      <x:c r="AW117" s="9"/>
      <x:c r="AX117" s="9"/>
      <x:c r="AY117" s="9" t="str">
        <x:v>80%</x:v>
      </x:c>
      <x:c r="AZ117" s="9" t="str">
        <x:v>3.1</x:v>
      </x:c>
      <x:c r="BA117" s="11" t="str">
        <x:f>HYPERLINK("https://www.mobygames.com/game/26762/crash-n-burn/","MobyGames")</x:f>
        <x:v>MobyGames</x:v>
      </x:c>
      <x:c r="BB117" s="9"/>
      <x:c r="BC117" s="9"/>
      <x:c r="BD117" s="9"/>
      <x:c r="BE117" s="11" t="str">
        <x:f>HYPERLINK("https://en.wikipedia.org/wiki/Crash_%27N_Burn_(1993_video_game)","Wikipedia")</x:f>
        <x:v>Wikipedia</x:v>
      </x:c>
      <x:c r="BF117" s="11" t="str">
        <x:f>HYPERLINK("https://backloggd.com/search/games/Crash%20%27n%20Burn/","Backloggd")</x:f>
        <x:v>Backloggd</x:v>
      </x:c>
      <x:c r="BG117" s="9"/>
      <x:c r="BH117" s="9"/>
      <x:c r="BI117" s="12" t="str">
        <x:v>No</x:v>
      </x:c>
      <x:c r="BJ117" s="12" t="str"/>
      <x:c r="BK117" s="12" t="str">
        <x:v>No</x:v>
      </x:c>
      <x:c r="BL117" s="12" t="str"/>
      <x:c r="BM117" s="12" t="str"/>
      <x:c r="BN117" s="12" t="str"/>
      <x:c r="BO117" s="12" t="str"/>
      <x:c r="BP117" s="12" t="str"/>
      <x:c r="BQ117" s="12" t="str"/>
    </x:row>
    <x:row r="118">
      <x:c r="A118" s="9" t="str">
        <x:v>3do-50</x:v>
      </x:c>
      <x:c r="B118" s="9" t="str">
        <x:v>total-eclipse</x:v>
      </x:c>
      <x:c r="C118" s="9" t="str">
        <x:v>3DO</x:v>
      </x:c>
      <x:c r="D118" s="9" t="str">
        <x:v>Total Eclipse</x:v>
      </x:c>
      <x:c r="E118" s="9" t="str">
        <x:v>Total Eclipse Turbo (PS1 port)</x:v>
      </x:c>
      <x:c r="F118" s="9" t="str">
        <x:v>Crystal Dynamics</x:v>
      </x:c>
      <x:c r="G118" s="9" t="str">
        <x:v>Crystal Dynamics (NA/EU), Crystal Dynamics / Panasonic (JP) — verify</x:v>
      </x:c>
      <x:c r="H118" s="9" t="n">
        <x:v>1994</x:v>
      </x:c>
      <x:c r="I118" s="9" t="str">
        <x:v>Yes</x:v>
      </x:c>
      <x:c r="J118" s="9" t="str">
        <x:v>Yes</x:v>
      </x:c>
      <x:c r="K118" s="9" t="str">
        <x:v>Yes</x:v>
      </x:c>
      <x:c r="L118" s="9" t="str">
        <x:v>No</x:v>
      </x:c>
      <x:c r="M118" s="9" t="str">
        <x:v>3D rail space shooter</x:v>
      </x:c>
      <x:c r="N118" s="9" t="str">
        <x:v>Pre-rendered CG</x:v>
      </x:c>
      <x:c r="O118" s="9" t="n">
        <x:v>1</x:v>
      </x:c>
      <x:c r="P118" s="9" t="str">
        <x:v>Cutscenes only</x:v>
      </x:c>
      <x:c r="Q118" s="9" t="str">
        <x:v>Released</x:v>
      </x:c>
      <x:c r="R118" s="9" t="str">
        <x:v>Original production</x:v>
      </x:c>
      <x:c r="S118" s="9" t="str">
        <x:v>PlayStation as Total Eclipse Turbo (1995, US launch window)</x:v>
      </x:c>
      <x:c r="T118" s="9" t="str">
        <x:v>—</x:v>
      </x:c>
      <x:c r="U118" s="9" t="n">
        <x:v>1</x:v>
      </x:c>
      <x:c r="V118" s="9" t="str">
        <x:v>Yes</x:v>
      </x:c>
      <x:c r="W118" s="9" t="str">
        <x:v>Standard 3DO controller</x:v>
      </x:c>
      <x:c r="X118" s="9" t="str">
        <x:v>Low</x:v>
      </x:c>
      <x:c r="Y118" s="9" t="str"/>
      <x:c r="Z118" s="9" t="str">
        <x:v>2–3 hr</x:v>
      </x:c>
      <x:c r="AA118" s="9" t="str">
        <x:v>Crystal Dynamics' Star Fox-style shooter bookended by SGI-rendered CG, later shoved out as a PS1 launch title.</x:v>
      </x:c>
      <x:c r="AB118" s="9" t="str">
        <x:v>Stage select: in Options highlight Quit/Previews, hold X and press B, L, A, release X and press B, L, A, B, L, A. Free Flight Zone: pause, enter Options, highlight Resume and press B, A, C, A, B, A, LS, LS+RS, X, X (a skull confirms), then LS, A, B, LS, A, B, X, X, X. (GameFAQs)</x:v>
      </x:c>
      <x:c r="AC118" s="9" t="str">
        <x:v>Brief pre-rendered CG intro/ending; full-ish window, ~15 fps</x:v>
      </x:c>
      <x:c r="AD118" s="9" t="str">
        <x:v>Hard; sensitive controls, punishing hit detection, limited continues</x:v>
      </x:c>
      <x:c r="AE118" s="9" t="str">
        <x:v>Single ending</x:v>
      </x:c>
      <x:c r="AF118" s="9" t="str">
        <x:v>Bundled with Panasonic's FZ-1 in some 1994 UK promotions and later paired with Gex in a Panasonic coupon offer. Sequel Solar Eclipse went to Saturn/PS1.</x:v>
      </x:c>
      <x:c r="AG118" s="9" t="str">
        <x:v>NA long box; EU release Sep 1994; JP Mar 26 1994; Turbo on PS1</x:v>
      </x:c>
      <x:c r="AH118" s="9" t="str">
        <x:v>No</x:v>
      </x:c>
      <x:c r="AI118" s="9" t="str">
        <x:v>Easy</x:v>
      </x:c>
      <x:c r="AJ118" s="9"/>
      <x:c r="AK118" s="9" t="str">
        <x:v>FMV limited to short CG cinematics; practically a conventional shooter.</x:v>
      </x:c>
      <x:c r="AL118" s="10" t="n">
        <x:v>15.82</x:v>
      </x:c>
      <x:c r="AM118" s="10" t="n">
        <x:v>39.47</x:v>
      </x:c>
      <x:c r="AN118" s="10" t="n">
        <x:v>54.27</x:v>
      </x:c>
      <x:c r="AO118" s="9" t="str">
        <x:v>2026-10-20</x:v>
      </x:c>
      <x:c r="AP118" s="11" t="str">
        <x:f>HYPERLINK("https://www.pricecharting.com/search-products?q=Total+Eclipse+3do&amp;type=prices","PriceCharting")</x:f>
        <x:v>PriceCharting</x:v>
      </x:c>
      <x:c r="AQ118" s="9"/>
      <x:c r="AR118" s="9"/>
      <x:c r="AS118" s="9"/>
      <x:c r="AT118" s="9"/>
      <x:c r="AU118" s="9"/>
      <x:c r="AV118" s="9"/>
      <x:c r="AW118" s="9"/>
      <x:c r="AX118" s="9"/>
      <x:c r="AY118" s="9" t="str">
        <x:v>72%</x:v>
      </x:c>
      <x:c r="AZ118" s="9" t="str">
        <x:v>3.5</x:v>
      </x:c>
      <x:c r="BA118" s="11" t="str">
        <x:f>HYPERLINK("https://www.mobygames.com/game/31030/total-eclipse/","MobyGames")</x:f>
        <x:v>MobyGames</x:v>
      </x:c>
      <x:c r="BB118" s="9"/>
      <x:c r="BC118" s="9"/>
      <x:c r="BD118" s="9"/>
      <x:c r="BE118" s="11" t="str">
        <x:f>HYPERLINK("https://en.wikipedia.org/wiki/Total_Eclipse_(1994_video_game)","Wikipedia")</x:f>
        <x:v>Wikipedia</x:v>
      </x:c>
      <x:c r="BF118" s="11" t="str">
        <x:f>HYPERLINK("https://backloggd.com/search/games/Total%20Eclipse/","Backloggd")</x:f>
        <x:v>Backloggd</x:v>
      </x:c>
      <x:c r="BG118" s="9"/>
      <x:c r="BH118" s="9"/>
      <x:c r="BI118" s="12" t="str">
        <x:v>No</x:v>
      </x:c>
      <x:c r="BJ118" s="12" t="str"/>
      <x:c r="BK118" s="12" t="str">
        <x:v>No</x:v>
      </x:c>
      <x:c r="BL118" s="12" t="str"/>
      <x:c r="BM118" s="12" t="str"/>
      <x:c r="BN118" s="12" t="str"/>
      <x:c r="BO118" s="12" t="str"/>
      <x:c r="BP118" s="12" t="str"/>
      <x:c r="BQ118" s="12" t="str"/>
    </x:row>
    <x:row r="119">
      <x:c r="A119" s="9" t="str">
        <x:v>3do-51</x:v>
      </x:c>
      <x:c r="B119" s="9" t="str">
        <x:v>off-world-interceptor</x:v>
      </x:c>
      <x:c r="C119" s="9" t="str">
        <x:v>3DO</x:v>
      </x:c>
      <x:c r="D119" s="9" t="str">
        <x:v>Off-World Interceptor</x:v>
      </x:c>
      <x:c r="E119" s="9" t="str">
        <x:v>Off-World Interceptor Extreme (Saturn/PS1)</x:v>
      </x:c>
      <x:c r="F119" s="9" t="str">
        <x:v>Crystal Dynamics</x:v>
      </x:c>
      <x:c r="G119" s="9" t="str">
        <x:v>Crystal Dynamics (NA/EU)</x:v>
      </x:c>
      <x:c r="H119" s="9" t="n">
        <x:v>1994</x:v>
      </x:c>
      <x:c r="I119" s="9" t="str">
        <x:v>Yes</x:v>
      </x:c>
      <x:c r="J119" s="9" t="str">
        <x:v>No</x:v>
      </x:c>
      <x:c r="K119" s="9" t="str">
        <x:v>Yes</x:v>
      </x:c>
      <x:c r="L119" s="9" t="str">
        <x:v>No</x:v>
      </x:c>
      <x:c r="M119" s="9" t="str">
        <x:v>Vehicular combat / off-road shooter</x:v>
      </x:c>
      <x:c r="N119" s="9" t="str">
        <x:v>Live-action</x:v>
      </x:c>
      <x:c r="O119" s="9" t="n">
        <x:v>2</x:v>
      </x:c>
      <x:c r="P119" s="9" t="str">
        <x:v>Cutscenes only</x:v>
      </x:c>
      <x:c r="Q119" s="9" t="str">
        <x:v>Released</x:v>
      </x:c>
      <x:c r="R119" s="9" t="str">
        <x:v>Original production (working title 'Orion Off-Road')</x:v>
      </x:c>
      <x:c r="S119" s="9" t="str">
        <x:v>Saturn and PlayStation as Off-World Interceptor Extreme (1995)</x:v>
      </x:c>
      <x:c r="T119" s="9" t="str">
        <x:v>Unnamed comedy actors as MST3K-style commentators</x:v>
      </x:c>
      <x:c r="U119" s="9" t="n">
        <x:v>1</x:v>
      </x:c>
      <x:c r="V119" s="9" t="str">
        <x:v>Yes</x:v>
      </x:c>
      <x:c r="W119" s="9" t="str">
        <x:v>Standard 3DO controller</x:v>
      </x:c>
      <x:c r="X119" s="9" t="str">
        <x:v>Low</x:v>
      </x:c>
      <x:c r="Y119" s="9" t="str"/>
      <x:c r="Z119" s="9" t="str">
        <x:v>3–4 hr</x:v>
      </x:c>
      <x:c r="AA119" s="9" t="str">
        <x:v>A bounty-hunting monster-truck shooter heckled between levels by a pair of live-action Mystery Science Theater-style goofballs.</x:v>
      </x:c>
      <x:c r="AB119" s="9" t="str">
        <x:v>$9,999,900: on the Options screen select Sound, then press A, B, C six times and L. (GameFAQs)</x:v>
      </x:c>
      <x:c r="AC119" s="9" t="str">
        <x:v>Live-action comedy skits in a reduced window; ~15 fps</x:v>
      </x:c>
      <x:c r="AD119" s="9" t="str">
        <x:v>Hard early on; reviewers noted initial frustration</x:v>
      </x:c>
      <x:c r="AE119" s="9" t="str">
        <x:v>Single ending</x:v>
      </x:c>
      <x:c r="AF119" s="9" t="str">
        <x:v>3DO Magazine gave it 5/5 while AllGame gave 2.5/5. The Extreme ports were re-tuned to feel like the original's arcade mode.</x:v>
      </x:c>
      <x:c r="AG119" s="9" t="str">
        <x:v>NA/EU long box; Extreme editions on Saturn/PS1</x:v>
      </x:c>
      <x:c r="AH119" s="9" t="str">
        <x:v>No</x:v>
      </x:c>
      <x:c r="AI119" s="9" t="str">
        <x:v>Easy</x:v>
      </x:c>
      <x:c r="AJ119" s="9"/>
      <x:c r="AK119" s="9" t="str">
        <x:v>JP release not found — verify. Two-player split-screen deathmatch Battle mode.</x:v>
      </x:c>
      <x:c r="AL119" s="10" t="n">
        <x:v>11.13</x:v>
      </x:c>
      <x:c r="AM119" s="10" t="n">
        <x:v>49.48</x:v>
      </x:c>
      <x:c r="AN119" s="10" t="n">
        <x:v>99</x:v>
      </x:c>
      <x:c r="AO119" s="9" t="str">
        <x:v>2026-10-20</x:v>
      </x:c>
      <x:c r="AP119" s="11" t="str">
        <x:f>HYPERLINK("https://www.pricecharting.com/search-products?q=Off-World+Interceptor+3do&amp;type=prices","PriceCharting")</x:f>
        <x:v>PriceCharting</x:v>
      </x:c>
      <x:c r="AQ119" s="9"/>
      <x:c r="AR119" s="9"/>
      <x:c r="AS119" s="9"/>
      <x:c r="AT119" s="9"/>
      <x:c r="AU119" s="9"/>
      <x:c r="AV119" s="9"/>
      <x:c r="AW119" s="9"/>
      <x:c r="AX119" s="9"/>
      <x:c r="AY119" s="9" t="str">
        <x:v>70%</x:v>
      </x:c>
      <x:c r="AZ119" s="9" t="str">
        <x:v>3.2</x:v>
      </x:c>
      <x:c r="BA119" s="11" t="str">
        <x:f>HYPERLINK("https://www.mobygames.com/game/14765/off-world-interceptor/","MobyGames")</x:f>
        <x:v>MobyGames</x:v>
      </x:c>
      <x:c r="BB119" s="9"/>
      <x:c r="BC119" s="9"/>
      <x:c r="BD119" s="9"/>
      <x:c r="BE119" s="11" t="str">
        <x:f>HYPERLINK("https://en.wikipedia.org/wiki/Off-World_Interceptor","Wikipedia")</x:f>
        <x:v>Wikipedia</x:v>
      </x:c>
      <x:c r="BF119" s="11" t="str">
        <x:f>HYPERLINK("https://backloggd.com/search/games/Off-World%20Interceptor/","Backloggd")</x:f>
        <x:v>Backloggd</x:v>
      </x:c>
      <x:c r="BG119" s="9"/>
      <x:c r="BH119" s="9"/>
      <x:c r="BI119" s="12" t="str">
        <x:v>No</x:v>
      </x:c>
      <x:c r="BJ119" s="12" t="str"/>
      <x:c r="BK119" s="12" t="str">
        <x:v>No</x:v>
      </x:c>
      <x:c r="BL119" s="12" t="str"/>
      <x:c r="BM119" s="12" t="str"/>
      <x:c r="BN119" s="12" t="str"/>
      <x:c r="BO119" s="12" t="str"/>
      <x:c r="BP119" s="12" t="str"/>
      <x:c r="BQ119" s="12" t="str"/>
    </x:row>
    <x:row r="120">
      <x:c r="A120" s="9" t="str">
        <x:v>3do-52</x:v>
      </x:c>
      <x:c r="B120" s="9" t="str">
        <x:v>the-horde</x:v>
      </x:c>
      <x:c r="C120" s="9" t="str">
        <x:v>3DO</x:v>
      </x:c>
      <x:c r="D120" s="9" t="str">
        <x:v>The Horde</x:v>
      </x:c>
      <x:c r="E120" s="9" t="str"/>
      <x:c r="F120" s="9" t="str">
        <x:v>Toys for Bob</x:v>
      </x:c>
      <x:c r="G120" s="9" t="str">
        <x:v>Crystal Dynamics (NA/EU/JP)</x:v>
      </x:c>
      <x:c r="H120" s="9" t="n">
        <x:v>1994</x:v>
      </x:c>
      <x:c r="I120" s="9" t="str">
        <x:v>Yes</x:v>
      </x:c>
      <x:c r="J120" s="9" t="str">
        <x:v>Yes</x:v>
      </x:c>
      <x:c r="K120" s="9" t="str">
        <x:v>Yes</x:v>
      </x:c>
      <x:c r="L120" s="9" t="str">
        <x:v>No</x:v>
      </x:c>
      <x:c r="M120" s="9" t="str">
        <x:v>Action / strategy (tower-defense precursor)</x:v>
      </x:c>
      <x:c r="N120" s="9" t="str">
        <x:v>Live-action</x:v>
      </x:c>
      <x:c r="O120" s="9" t="n">
        <x:v>3</x:v>
      </x:c>
      <x:c r="P120" s="9" t="str">
        <x:v>Cutscenes only</x:v>
      </x:c>
      <x:c r="Q120" s="9" t="str">
        <x:v>Released</x:v>
      </x:c>
      <x:c r="R120" s="9" t="str">
        <x:v>Original production</x:v>
      </x:c>
      <x:c r="S120" s="9" t="str">
        <x:v>DOS (1994, bundled with RealMagic MPEG card), FM Towns (1995), Saturn (1996)</x:v>
      </x:c>
      <x:c r="T120" s="9" t="str">
        <x:v>Kirk Cameron (Chauncey), Michael Gregory (Kronus Maelor)</x:v>
      </x:c>
      <x:c r="U120" s="9" t="n">
        <x:v>1</x:v>
      </x:c>
      <x:c r="V120" s="9" t="str">
        <x:v>Yes</x:v>
      </x:c>
      <x:c r="W120" s="9" t="str">
        <x:v>Standard 3DO controller</x:v>
      </x:c>
      <x:c r="X120" s="9" t="str">
        <x:v>Low</x:v>
      </x:c>
      <x:c r="Y120" s="9" t="str"/>
      <x:c r="Z120" s="9" t="str">
        <x:v>6–10 hr</x:v>
      </x:c>
      <x:c r="AA120" s="9" t="str">
        <x:v>Kirk Cameron defends villages from cow-eating Hordlings in a game whose first pressing wiped your other 3DO saves.</x:v>
      </x:c>
      <x:c r="AB120" s="9" t="str">
        <x:v>None known</x:v>
      </x:c>
      <x:c r="AC120" s="9" t="str">
        <x:v>Live-action cutscenes shot over two days; reduced window, ~15 fps; some versions cut video to slideshows</x:v>
      </x:c>
      <x:c r="AD120" s="9" t="str">
        <x:v>Moderate; escalating seasons with taxes and tougher Hordlings</x:v>
      </x:c>
      <x:c r="AE120" s="9" t="str">
        <x:v>Single ending after the final region</x:v>
      </x:c>
      <x:c r="AF120" s="9" t="str">
        <x:v>Jim Carrey and Michael Richards were considered for Chauncey. A chocolate prop key nearly killed the chocolate-allergic actor playing the Chancellor; it was reshot with carob.</x:v>
      </x:c>
      <x:c r="AG120" s="9" t="str">
        <x:v>NA long box with a Hordling mouth that opens; recalled first pressing replaced with save-prompt discs; JP Jul 23 1994</x:v>
      </x:c>
      <x:c r="AH120" s="9" t="str">
        <x:v>No</x:v>
      </x:c>
      <x:c r="AI120" s="9" t="str">
        <x:v>Easy</x:v>
      </x:c>
      <x:c r="AJ120" s="9"/>
      <x:c r="AK120" s="9" t="str">
        <x:v>CGW 1994 Best On-Screen Performance (Michael Gregory) and Best Musical Score.</x:v>
      </x:c>
      <x:c r="AL120" s="10" t="n">
        <x:v>24.99</x:v>
      </x:c>
      <x:c r="AM120" s="10" t="n">
        <x:v>69.99</x:v>
      </x:c>
      <x:c r="AN120" s="10" t="n">
        <x:v>150</x:v>
      </x:c>
      <x:c r="AO120" s="9" t="str">
        <x:v>2026-10-20</x:v>
      </x:c>
      <x:c r="AP120" s="11" t="str">
        <x:f>HYPERLINK("https://www.pricecharting.com/search-products?q=The+Horde+3do&amp;type=prices","PriceCharting")</x:f>
        <x:v>PriceCharting</x:v>
      </x:c>
      <x:c r="AQ120" s="9"/>
      <x:c r="AR120" s="9"/>
      <x:c r="AS120" s="9"/>
      <x:c r="AT120" s="9"/>
      <x:c r="AU120" s="9"/>
      <x:c r="AV120" s="9"/>
      <x:c r="AW120" s="9"/>
      <x:c r="AX120" s="9"/>
      <x:c r="AY120" s="9" t="str">
        <x:v>79%</x:v>
      </x:c>
      <x:c r="AZ120" s="9" t="str">
        <x:v>3.4</x:v>
      </x:c>
      <x:c r="BA120" s="11" t="str">
        <x:f>HYPERLINK("https://www.mobygames.com/game/horde","MobyGames")</x:f>
        <x:v>MobyGames</x:v>
      </x:c>
      <x:c r="BB120" s="9"/>
      <x:c r="BC120" s="9"/>
      <x:c r="BD120" s="9"/>
      <x:c r="BE120" s="11" t="str">
        <x:f>HYPERLINK("https://en.wikipedia.org/wiki/The_Horde_(video_game)","Wikipedia")</x:f>
        <x:v>Wikipedia</x:v>
      </x:c>
      <x:c r="BF120" s="11" t="str">
        <x:f>HYPERLINK("https://backloggd.com/search/games/The%20Horde/","Backloggd")</x:f>
        <x:v>Backloggd</x:v>
      </x:c>
      <x:c r="BG120" s="9"/>
      <x:c r="BH120" s="9"/>
      <x:c r="BI120" s="12" t="str">
        <x:v>No</x:v>
      </x:c>
      <x:c r="BJ120" s="12" t="str"/>
      <x:c r="BK120" s="12" t="str">
        <x:v>No</x:v>
      </x:c>
      <x:c r="BL120" s="12" t="str"/>
      <x:c r="BM120" s="12" t="str"/>
      <x:c r="BN120" s="12" t="str"/>
      <x:c r="BO120" s="12" t="str"/>
      <x:c r="BP120" s="12" t="str"/>
      <x:c r="BQ120" s="12" t="str"/>
    </x:row>
    <x:row r="121">
      <x:c r="A121" s="9" t="str">
        <x:v>3do-53</x:v>
      </x:c>
      <x:c r="B121" s="9" t="str">
        <x:v>shock-wave</x:v>
      </x:c>
      <x:c r="C121" s="9" t="str">
        <x:v>3DO</x:v>
      </x:c>
      <x:c r="D121" s="9" t="str">
        <x:v>Shock Wave</x:v>
      </x:c>
      <x:c r="E121" s="9" t="str">
        <x:v>Shock Wave: Invasion Earth 2019; ショックウェーブ (JP)</x:v>
      </x:c>
      <x:c r="F121" s="9" t="str">
        <x:v>Advanced Technology Group (EA)</x:v>
      </x:c>
      <x:c r="G121" s="9" t="str">
        <x:v>Electronic Arts (NA/EU), Electronic Arts Victor (JP)</x:v>
      </x:c>
      <x:c r="H121" s="9" t="n">
        <x:v>1994</x:v>
      </x:c>
      <x:c r="I121" s="9" t="str">
        <x:v>Yes</x:v>
      </x:c>
      <x:c r="J121" s="9" t="str">
        <x:v>Yes</x:v>
      </x:c>
      <x:c r="K121" s="9" t="str">
        <x:v>Yes</x:v>
      </x:c>
      <x:c r="L121" s="9" t="str">
        <x:v>No</x:v>
      </x:c>
      <x:c r="M121" s="9" t="str">
        <x:v>Sci-fi flight combat shooter</x:v>
      </x:c>
      <x:c r="N121" s="9" t="str">
        <x:v>Live-action + CG</x:v>
      </x:c>
      <x:c r="O121" s="9" t="n">
        <x:v>3</x:v>
      </x:c>
      <x:c r="P121" s="9" t="str">
        <x:v>Cutscenes only</x:v>
      </x:c>
      <x:c r="Q121" s="9" t="str">
        <x:v>Released</x:v>
      </x:c>
      <x:c r="R121" s="9" t="str">
        <x:v>Original production</x:v>
      </x:c>
      <x:c r="S121" s="9" t="str">
        <x:v>Pippin; later bundled with Jumpgate as Shockwave Assault on PS1, Saturn, Windows, Mac (1996)</x:v>
      </x:c>
      <x:c r="T121" s="9" t="str">
        <x:v>Unnamed actors as Cmdr. Crane, Maj. Alaina Stewart, Dr. Lawrence — verify</x:v>
      </x:c>
      <x:c r="U121" s="9" t="n">
        <x:v>1</x:v>
      </x:c>
      <x:c r="V121" s="9" t="str">
        <x:v>Yes</x:v>
      </x:c>
      <x:c r="W121" s="9" t="str">
        <x:v>Standard 3DO controller</x:v>
      </x:c>
      <x:c r="X121" s="9" t="str">
        <x:v>Low</x:v>
      </x:c>
      <x:c r="Y121" s="9" t="str"/>
      <x:c r="Z121" s="9" t="str">
        <x:v>3–4 hr</x:v>
      </x:c>
      <x:c r="AA121" s="9" t="str">
        <x:v>EA's texture-mapped alien-invasion shooter with live actors barking orders at you mid-mission through a cockpit video feed.</x:v>
      </x:c>
      <x:c r="AB121" s="9" t="str">
        <x:v>Pause (P), press B, A, C, C, A, A, then Stop to unpause; pause again and enter A, B, A, C, A, A, B, A, X for invincibility, C, A, A, B, A, X for super lasers, or A, C, A, B, A, A, C, A, A, A, X for smart bombs. Leave the end screen after the credits to play a hidden Mission 11. (GameFAQs)</x:v>
      </x:c>
      <x:c r="AC121" s="9" t="str">
        <x:v>Live-action and CG cutscenes plus in-HUD video messages; reduced window, ~15 fps; EGM called the FMV 'sharp'</x:v>
      </x:c>
      <x:c r="AD121" s="9" t="str">
        <x:v>Moderate; over-sensitive controls, 10 missions each ending in a boss</x:v>
      </x:c>
      <x:c r="AE121" s="9" t="str">
        <x:v>Single ending; save file carries into Operation Jumpgate</x:v>
      </x:c>
      <x:c r="AF121" s="9" t="str">
        <x:v>Pack-in for the Goldstar 3DO and Creative's 3DO Blaster PC card. The F-177 fighter is modeled on the F-117 Nighthawk and auto-hovers so it cannot crash.</x:v>
      </x:c>
      <x:c r="AG121" s="9" t="str">
        <x:v>NA long box; Goldstar pack-in; JP EA Victor release; 3DO version has 10 missions vs 15 in later ports</x:v>
      </x:c>
      <x:c r="AH121" s="9" t="str">
        <x:v>No</x:v>
      </x:c>
      <x:c r="AI121" s="9" t="str">
        <x:v>Easy</x:v>
      </x:c>
      <x:c r="AJ121" s="9"/>
      <x:c r="AK121" s="9" t="str">
        <x:v>Actor names not documented in Wikipedia/Giant Bomb/MobyGames — verify via credits.</x:v>
      </x:c>
      <x:c r="AL121" s="10" t="n">
        <x:v>14.74</x:v>
      </x:c>
      <x:c r="AM121" s="10" t="n">
        <x:v>26.06</x:v>
      </x:c>
      <x:c r="AN121" s="10" t="n">
        <x:v>51.73</x:v>
      </x:c>
      <x:c r="AO121" s="9" t="str">
        <x:v>2026-10-20</x:v>
      </x:c>
      <x:c r="AP121" s="11" t="str">
        <x:f>HYPERLINK("https://www.pricecharting.com/search-products?q=Shock+Wave+3do&amp;type=prices","PriceCharting")</x:f>
        <x:v>PriceCharting</x:v>
      </x:c>
      <x:c r="AQ121" s="9"/>
      <x:c r="AR121" s="9"/>
      <x:c r="AS121" s="9"/>
      <x:c r="AT121" s="9"/>
      <x:c r="AU121" s="9"/>
      <x:c r="AV121" s="9"/>
      <x:c r="AW121" s="9"/>
      <x:c r="AX121" s="9"/>
      <x:c r="AY121" s="9" t="str">
        <x:v>76%</x:v>
      </x:c>
      <x:c r="AZ121" s="9" t="str">
        <x:v>3.5</x:v>
      </x:c>
      <x:c r="BA121" s="11" t="str">
        <x:f>HYPERLINK("https://www.mobygames.com/game/12654/shock-wave/","MobyGames")</x:f>
        <x:v>MobyGames</x:v>
      </x:c>
      <x:c r="BB121" s="9"/>
      <x:c r="BC121" s="9"/>
      <x:c r="BD121" s="9"/>
      <x:c r="BE121" s="11" t="str">
        <x:f>HYPERLINK("https://en.wikipedia.org/wiki/Shockwave_Assault","Wikipedia")</x:f>
        <x:v>Wikipedia</x:v>
      </x:c>
      <x:c r="BF121" s="11" t="str">
        <x:f>HYPERLINK("https://backloggd.com/search/games/Shock%20Wave/","Backloggd")</x:f>
        <x:v>Backloggd</x:v>
      </x:c>
      <x:c r="BG121" s="9"/>
      <x:c r="BH121" s="9"/>
      <x:c r="BI121" s="12" t="str">
        <x:v>No</x:v>
      </x:c>
      <x:c r="BJ121" s="12" t="str"/>
      <x:c r="BK121" s="12" t="str">
        <x:v>No</x:v>
      </x:c>
      <x:c r="BL121" s="12" t="str"/>
      <x:c r="BM121" s="12" t="str"/>
      <x:c r="BN121" s="12" t="str"/>
      <x:c r="BO121" s="12" t="str"/>
      <x:c r="BP121" s="12" t="str"/>
      <x:c r="BQ121" s="12" t="str"/>
    </x:row>
    <x:row r="122">
      <x:c r="A122" s="9" t="str">
        <x:v>3do-54</x:v>
      </x:c>
      <x:c r="B122" s="9" t="str">
        <x:v>shock-wave-2-beyond-the-gate</x:v>
      </x:c>
      <x:c r="C122" s="9" t="str">
        <x:v>3DO</x:v>
      </x:c>
      <x:c r="D122" s="9" t="str">
        <x:v>Shock Wave 2: Beyond the Gate</x:v>
      </x:c>
      <x:c r="E122" s="9" t="str">
        <x:v>ショックウェーブ2 (JP) — verify</x:v>
      </x:c>
      <x:c r="F122" s="9" t="str">
        <x:v>Advanced Technology Group (EA)</x:v>
      </x:c>
      <x:c r="G122" s="9" t="str">
        <x:v>Electronic Arts (NA/EU); EA Victor (JP) — verify; rights later sold to Aztech New Media</x:v>
      </x:c>
      <x:c r="H122" s="9" t="n">
        <x:v>1995</x:v>
      </x:c>
      <x:c r="I122" s="9" t="str">
        <x:v>Yes</x:v>
      </x:c>
      <x:c r="J122" s="9" t="str">
        <x:v>Yes</x:v>
      </x:c>
      <x:c r="K122" s="9" t="str">
        <x:v>Yes</x:v>
      </x:c>
      <x:c r="L122" s="9" t="str">
        <x:v>No</x:v>
      </x:c>
      <x:c r="M122" s="9" t="str">
        <x:v>Sci-fi flight combat shooter</x:v>
      </x:c>
      <x:c r="N122" s="9" t="str">
        <x:v>Live-action + CG</x:v>
      </x:c>
      <x:c r="O122" s="9" t="n">
        <x:v>3</x:v>
      </x:c>
      <x:c r="P122" s="9" t="str">
        <x:v>Cutscenes only</x:v>
      </x:c>
      <x:c r="Q122" s="9" t="str">
        <x:v>Released</x:v>
      </x:c>
      <x:c r="R122" s="9" t="str">
        <x:v>Original production; sequel to Shock Wave</x:v>
      </x:c>
      <x:c r="S122" s="9" t="str">
        <x:v>Mac (ported 1996, shelved; released 1998 in Mac Pack Blitz compilation)</x:v>
      </x:c>
      <x:c r="T122" s="9" t="str">
        <x:v>Unnamed actors as space-pirate mercenaries in Hawaiian shirts; CG aliens/robots</x:v>
      </x:c>
      <x:c r="U122" s="9" t="n">
        <x:v>2</x:v>
      </x:c>
      <x:c r="V122" s="9" t="str">
        <x:v>Yes</x:v>
      </x:c>
      <x:c r="W122" s="9" t="str">
        <x:v>Standard 3DO controller</x:v>
      </x:c>
      <x:c r="X122" s="9" t="str">
        <x:v>Low</x:v>
      </x:c>
      <x:c r="Y122" s="9" t="str"/>
      <x:c r="Z122" s="9" t="str">
        <x:v>4–5 hr</x:v>
      </x:c>
      <x:c r="AA122" s="9" t="str">
        <x:v>A two-disc 3DO sequel with Hawaiian-shirted mercs and unconvincing CG aliens that EA barely bothered to port anywhere else.</x:v>
      </x:c>
      <x:c r="AB122" s="9" t="str">
        <x:v>Fire a laser and pause while it's visible: A, A, A, C, R, Stop = invincibility; R, R, B, A, B, R, A, C, A, Stop, then pause again and A, C, A, R, A, A, B, A, A, A, Stop = end the mission successfully. (GameFAQs)</x:v>
      </x:c>
      <x:c r="AC122" s="9" t="str">
        <x:v>Live-action intro and briefing videos mixed with CG; reduced window, ~15 fps</x:v>
      </x:c>
      <x:c r="AD122" s="9" t="str">
        <x:v>Moderate to hard; frame rate drops in busy fights</x:v>
      </x:c>
      <x:c r="AE122" s="9" t="str">
        <x:v>Single ending</x:v>
      </x:c>
      <x:c r="AF122" s="9" t="str">
        <x:v>A finished Mac port sat unreleased for two years because 3DO sales were too low to justify it.</x:v>
      </x:c>
      <x:c r="AG122" s="9" t="str">
        <x:v>NA long box (2 discs); EU release 1995; JP release — verify</x:v>
      </x:c>
      <x:c r="AH122" s="9" t="str">
        <x:v>No</x:v>
      </x:c>
      <x:c r="AI122" s="9" t="str">
        <x:v>Easy</x:v>
      </x:c>
      <x:c r="AJ122" s="9"/>
      <x:c r="AK122" s="9" t="str">
        <x:v>Wikipedia coverage thin; disc count from retail listings and Video Game Critic.</x:v>
      </x:c>
      <x:c r="AL122" s="10" t="n">
        <x:v>15.27</x:v>
      </x:c>
      <x:c r="AM122" s="10" t="n">
        <x:v>30</x:v>
      </x:c>
      <x:c r="AN122" s="10" t="n">
        <x:v>61.61</x:v>
      </x:c>
      <x:c r="AO122" s="9" t="str">
        <x:v>2026-10-20</x:v>
      </x:c>
      <x:c r="AP122" s="11" t="str">
        <x:f>HYPERLINK("https://www.pricecharting.com/search-products?q=Shock+Wave+2%3A+Beyond+the+Gate+3do&amp;type=prices","PriceCharting")</x:f>
        <x:v>PriceCharting</x:v>
      </x:c>
      <x:c r="AQ122" s="9"/>
      <x:c r="AR122" s="9"/>
      <x:c r="AS122" s="9"/>
      <x:c r="AT122" s="9"/>
      <x:c r="AU122" s="9"/>
      <x:c r="AV122" s="9"/>
      <x:c r="AW122" s="9"/>
      <x:c r="AX122" s="9"/>
      <x:c r="AY122" s="9" t="str">
        <x:v>81%</x:v>
      </x:c>
      <x:c r="AZ122" s="9" t="str">
        <x:v>4.2</x:v>
      </x:c>
      <x:c r="BA122" s="11" t="str">
        <x:f>HYPERLINK("https://www.mobygames.com/game/12670/shock-wave-2-beyond-the-gate/","MobyGames")</x:f>
        <x:v>MobyGames</x:v>
      </x:c>
      <x:c r="BB122" s="9"/>
      <x:c r="BC122" s="9"/>
      <x:c r="BD122" s="9"/>
      <x:c r="BE122" s="11" t="str">
        <x:f>HYPERLINK("https://en.wikipedia.org/wiki/Shockwave_Assault","Wikipedia")</x:f>
        <x:v>Wikipedia</x:v>
      </x:c>
      <x:c r="BF122" s="11" t="str">
        <x:f>HYPERLINK("https://backloggd.com/search/games/Shock%20Wave%202%3A%20Beyond%20the%20Gate/","Backloggd")</x:f>
        <x:v>Backloggd</x:v>
      </x:c>
      <x:c r="BG122" s="9"/>
      <x:c r="BH122" s="9"/>
      <x:c r="BI122" s="12" t="str">
        <x:v>No</x:v>
      </x:c>
      <x:c r="BJ122" s="12" t="str"/>
      <x:c r="BK122" s="12" t="str">
        <x:v>No</x:v>
      </x:c>
      <x:c r="BL122" s="12" t="str"/>
      <x:c r="BM122" s="12" t="str"/>
      <x:c r="BN122" s="12" t="str"/>
      <x:c r="BO122" s="12" t="str"/>
      <x:c r="BP122" s="12" t="str"/>
      <x:c r="BQ122" s="12" t="str"/>
    </x:row>
    <x:row r="123">
      <x:c r="A123" s="9" t="str">
        <x:v>3do-55</x:v>
      </x:c>
      <x:c r="B123" s="9" t="str">
        <x:v>shockwave-operation-jumpgate</x:v>
      </x:c>
      <x:c r="C123" s="9" t="str">
        <x:v>3DO</x:v>
      </x:c>
      <x:c r="D123" s="9" t="str">
        <x:v>Shockwave: Operation Jumpgate</x:v>
      </x:c>
      <x:c r="E123" s="9" t="str">
        <x:v>Shock Wave: Operation JumpGate</x:v>
      </x:c>
      <x:c r="F123" s="9" t="str">
        <x:v>Advanced Technology Group (EA)</x:v>
      </x:c>
      <x:c r="G123" s="9" t="str">
        <x:v>Electronic Arts (NA/EU)</x:v>
      </x:c>
      <x:c r="H123" s="9" t="n">
        <x:v>1995</x:v>
      </x:c>
      <x:c r="I123" s="9" t="str">
        <x:v>Yes</x:v>
      </x:c>
      <x:c r="J123" s="9" t="str">
        <x:v>No</x:v>
      </x:c>
      <x:c r="K123" s="9" t="str">
        <x:v>Yes</x:v>
      </x:c>
      <x:c r="L123" s="9" t="str">
        <x:v>No</x:v>
      </x:c>
      <x:c r="M123" s="9" t="str">
        <x:v>Sci-fi flight combat shooter (expansion)</x:v>
      </x:c>
      <x:c r="N123" s="9" t="str">
        <x:v>Live-action + CG</x:v>
      </x:c>
      <x:c r="O123" s="9" t="n">
        <x:v>2</x:v>
      </x:c>
      <x:c r="P123" s="9" t="str">
        <x:v>Cutscenes only</x:v>
      </x:c>
      <x:c r="Q123" s="9" t="str">
        <x:v>Released</x:v>
      </x:c>
      <x:c r="R123" s="9" t="str">
        <x:v>Original production; add-on to Shock Wave</x:v>
      </x:c>
      <x:c r="S123" s="9" t="str">
        <x:v>Bundled in Shockwave Assault on PS1, Saturn, Windows, Mac, Pippin (1996)</x:v>
      </x:c>
      <x:c r="T123" s="9" t="str">
        <x:v>Returning Shock Wave actors (Wildcard, Stewart, ICE); some footage reused — verify</x:v>
      </x:c>
      <x:c r="U123" s="9" t="n">
        <x:v>1</x:v>
      </x:c>
      <x:c r="V123" s="9" t="str">
        <x:v>Yes</x:v>
      </x:c>
      <x:c r="W123" s="9" t="str">
        <x:v>Standard 3DO controller</x:v>
      </x:c>
      <x:c r="X123" s="9" t="str">
        <x:v>Low</x:v>
      </x:c>
      <x:c r="Y123" s="9" t="str"/>
      <x:c r="Z123" s="9" t="str">
        <x:v>1–2 hr</x:v>
      </x:c>
      <x:c r="AA123" s="9" t="str">
        <x:v>A rare console expansion disc that refuses to boot unless a Shock Wave save file is sitting in your 3DO's memory.</x:v>
      </x:c>
      <x:c r="AB123" s="9" t="str">
        <x:v>None known</x:v>
      </x:c>
      <x:c r="AC123" s="9" t="str">
        <x:v>Short live-action/CG briefings; reduced window, ~15 fps</x:v>
      </x:c>
      <x:c r="AD123" s="9" t="str">
        <x:v>Hard; Next Generation called it 'twice as challenging' as the original</x:v>
      </x:c>
      <x:c r="AE123" s="9" t="str">
        <x:v>Single epilogue ending across five missions</x:v>
      </x:c>
      <x:c r="AF123" s="9" t="str">
        <x:v>Released May 19, 1995 as a standalone-priced disc but requires the original's save data to play.</x:v>
      </x:c>
      <x:c r="AG123" s="9" t="str">
        <x:v>NA long box; EU 1995; later only as part of Shockwave Assault</x:v>
      </x:c>
      <x:c r="AH123" s="9" t="str">
        <x:v>No</x:v>
      </x:c>
      <x:c r="AI123" s="9" t="str">
        <x:v>Easy</x:v>
      </x:c>
      <x:c r="AJ123" s="9"/>
      <x:c r="AK123" s="9" t="str">
        <x:v>No JP release found. Five epilogue missions only.</x:v>
      </x:c>
      <x:c r="AL123" s="10" t="n">
        <x:v>14.36</x:v>
      </x:c>
      <x:c r="AM123" s="10" t="n">
        <x:v>26.53</x:v>
      </x:c>
      <x:c r="AN123" s="10" t="n">
        <x:v>34.89</x:v>
      </x:c>
      <x:c r="AO123" s="9" t="str">
        <x:v>2026-10-20</x:v>
      </x:c>
      <x:c r="AP123" s="11" t="str">
        <x:f>HYPERLINK("https://www.pricecharting.com/search-products?q=Shockwave%3A+Operation+Jumpgate+3do&amp;type=prices","PriceCharting")</x:f>
        <x:v>PriceCharting</x:v>
      </x:c>
      <x:c r="AQ123" s="9"/>
      <x:c r="AR123" s="9"/>
      <x:c r="AS123" s="9"/>
      <x:c r="AT123" s="9"/>
      <x:c r="AU123" s="9"/>
      <x:c r="AV123" s="9"/>
      <x:c r="AW123" s="9"/>
      <x:c r="AX123" s="9"/>
      <x:c r="AY123" s="9" t="str">
        <x:v>71%</x:v>
      </x:c>
      <x:c r="AZ123" s="9" t="str">
        <x:v>4.0</x:v>
      </x:c>
      <x:c r="BA123" s="11" t="str">
        <x:f>HYPERLINK("https://www.mobygames.com/game/12655/shock-wave-operation-jumpgate/","MobyGames")</x:f>
        <x:v>MobyGames</x:v>
      </x:c>
      <x:c r="BB123" s="9"/>
      <x:c r="BC123" s="9"/>
      <x:c r="BD123" s="9"/>
      <x:c r="BE123" s="11" t="str">
        <x:f>HYPERLINK("https://en.wikipedia.org/wiki/Shockwave_Assault","Wikipedia")</x:f>
        <x:v>Wikipedia</x:v>
      </x:c>
      <x:c r="BF123" s="11" t="str">
        <x:f>HYPERLINK("https://backloggd.com/search/games/Shockwave%3A%20Operation%20Jumpgate/","Backloggd")</x:f>
        <x:v>Backloggd</x:v>
      </x:c>
      <x:c r="BG123" s="9"/>
      <x:c r="BH123" s="9"/>
      <x:c r="BI123" s="12" t="str">
        <x:v>No</x:v>
      </x:c>
      <x:c r="BJ123" s="12" t="str"/>
      <x:c r="BK123" s="12" t="str">
        <x:v>No</x:v>
      </x:c>
      <x:c r="BL123" s="12" t="str"/>
      <x:c r="BM123" s="12" t="str"/>
      <x:c r="BN123" s="12" t="str"/>
      <x:c r="BO123" s="12" t="str"/>
      <x:c r="BP123" s="12" t="str"/>
      <x:c r="BQ123" s="12" t="str"/>
    </x:row>
    <x:row r="124">
      <x:c r="A124" s="9" t="str">
        <x:v>3do-56</x:v>
      </x:c>
      <x:c r="B124" s="9" t="str">
        <x:v>jurassic-park-interactive</x:v>
      </x:c>
      <x:c r="C124" s="9" t="str">
        <x:v>3DO</x:v>
      </x:c>
      <x:c r="D124" s="9" t="str">
        <x:v>Jurassic Park Interactive</x:v>
      </x:c>
      <x:c r="E124" s="9" t="str"/>
      <x:c r="F124" s="9" t="str">
        <x:v>Studio 3DO</x:v>
      </x:c>
      <x:c r="G124" s="9" t="str">
        <x:v>Universal Interactive Studios (NA May 10, 1994; PAL 1994 per Wikipedia)</x:v>
      </x:c>
      <x:c r="H124" s="9" t="n">
        <x:v>1994</x:v>
      </x:c>
      <x:c r="I124" s="9" t="str">
        <x:v>Yes</x:v>
      </x:c>
      <x:c r="J124" s="9" t="str">
        <x:v>Yes</x:v>
      </x:c>
      <x:c r="K124" s="9" t="str">
        <x:v>Yes</x:v>
      </x:c>
      <x:c r="L124" s="9" t="str">
        <x:v>No</x:v>
      </x:c>
      <x:c r="M124" s="9" t="str">
        <x:v>Action / minigame collection</x:v>
      </x:c>
      <x:c r="N124" s="9" t="str">
        <x:v>Live-action</x:v>
      </x:c>
      <x:c r="O124" s="9" t="n">
        <x:v>3</x:v>
      </x:c>
      <x:c r="P124" s="9" t="str">
        <x:v>Cutscenes only</x:v>
      </x:c>
      <x:c r="Q124" s="9" t="str">
        <x:v>Released</x:v>
      </x:c>
      <x:c r="R124" s="9" t="str">
        <x:v>Film license (Jurassic Park, 1993); uses film footage and score</x:v>
      </x:c>
      <x:c r="S124" s="9" t="str">
        <x:v>None (3DO exclusive)</x:v>
      </x:c>
      <x:c r="T124" s="9" t="str">
        <x:v>Film footage with actors' faces cut out; unnamed look-alike actors in later scenes</x:v>
      </x:c>
      <x:c r="U124" s="9" t="n">
        <x:v>1</x:v>
      </x:c>
      <x:c r="V124" s="9" t="str">
        <x:v>Yes</x:v>
      </x:c>
      <x:c r="W124" s="9" t="str">
        <x:v>Standard 3DO controller</x:v>
      </x:c>
      <x:c r="X124" s="9" t="str">
        <x:v>HIGH</x:v>
      </x:c>
      <x:c r="Y124" s="9" t="str">
        <x:v>John Williams' Jurassic Park score and Universal film footage used in intro and cutscenes</x:v>
      </x:c>
      <x:c r="Z124" s="9" t="str">
        <x:v>2–3 hr</x:v>
      </x:c>
      <x:c r="AA124" s="9" t="str">
        <x:v>Universal's first game used real Jurassic Park footage, then hid every actor's face and hired look-alikes.</x:v>
      </x:c>
      <x:c r="AB124" s="9" t="str">
        <x:v>None known — verify</x:v>
      </x:c>
      <x:c r="AC124" s="9" t="str">
        <x:v>Film clips and look-alike footage in a reduced window, ~15 fps, heavy compression</x:v>
      </x:c>
      <x:c r="AD124" s="9" t="str">
        <x:v>Normal/Hard/Expert settings alter guests to rescue and time limit</x:v>
      </x:c>
      <x:c r="AE124" s="9" t="str">
        <x:v>Single ending once all guests reach the helipad and help is summoned</x:v>
      </x:c>
      <x:c r="AF124" s="9" t="str">
        <x:v>Originally planned as the 3DO's October 1993 pack-in but slipped to May 1994. About 10 people over 14 months on a $1–2M budget.</x:v>
      </x:c>
      <x:c r="AG124" s="9" t="str">
        <x:v>NA long box; PAL release 1994; JP release (Famitsu reviewed)</x:v>
      </x:c>
      <x:c r="AH124" s="9" t="str">
        <x:v>No</x:v>
      </x:c>
      <x:c r="AI124" s="9" t="str">
        <x:v>Easy</x:v>
      </x:c>
      <x:c r="AJ124" s="9"/>
      <x:c r="AK124" s="9" t="str">
        <x:v>Only Jurassic Park game to use the film's footage and music. Kotaku ranked it among the worst JP games.</x:v>
      </x:c>
      <x:c r="AL124" s="10" t="n">
        <x:v>20</x:v>
      </x:c>
      <x:c r="AM124" s="10" t="n">
        <x:v>44.79</x:v>
      </x:c>
      <x:c r="AN124" s="10" t="n">
        <x:v>144.63</x:v>
      </x:c>
      <x:c r="AO124" s="9" t="str">
        <x:v>2026-10-20</x:v>
      </x:c>
      <x:c r="AP124" s="11" t="str">
        <x:f>HYPERLINK("https://www.pricecharting.com/search-products?q=Jurassic+Park+Interactive+3do&amp;type=prices","PriceCharting")</x:f>
        <x:v>PriceCharting</x:v>
      </x:c>
      <x:c r="AQ124" s="9"/>
      <x:c r="AR124" s="9"/>
      <x:c r="AS124" s="9"/>
      <x:c r="AT124" s="9"/>
      <x:c r="AU124" s="9"/>
      <x:c r="AV124" s="9"/>
      <x:c r="AW124" s="9"/>
      <x:c r="AX124" s="9"/>
      <x:c r="AY124" s="9" t="str">
        <x:v>57%</x:v>
      </x:c>
      <x:c r="AZ124" s="9" t="str">
        <x:v>2.0</x:v>
      </x:c>
      <x:c r="BA124" s="11" t="str">
        <x:f>HYPERLINK("https://www.mobygames.com/game/40030/jurassic-park-interactive/","MobyGames")</x:f>
        <x:v>MobyGames</x:v>
      </x:c>
      <x:c r="BB124" s="9"/>
      <x:c r="BC124" s="9"/>
      <x:c r="BD124" s="9"/>
      <x:c r="BE124" s="11" t="str">
        <x:f>HYPERLINK("https://en.wikipedia.org/wiki/Jurassic_Park_Interactive","Wikipedia")</x:f>
        <x:v>Wikipedia</x:v>
      </x:c>
      <x:c r="BF124" s="11" t="str">
        <x:f>HYPERLINK("https://backloggd.com/search/games/Jurassic%20Park%20Interactive/","Backloggd")</x:f>
        <x:v>Backloggd</x:v>
      </x:c>
      <x:c r="BG124" s="9"/>
      <x:c r="BH124" s="9"/>
      <x:c r="BI124" s="12" t="str">
        <x:v>No</x:v>
      </x:c>
      <x:c r="BJ124" s="12" t="str"/>
      <x:c r="BK124" s="12" t="str">
        <x:v>No</x:v>
      </x:c>
      <x:c r="BL124" s="12" t="str"/>
      <x:c r="BM124" s="12" t="str"/>
      <x:c r="BN124" s="12" t="str"/>
      <x:c r="BO124" s="12" t="str"/>
      <x:c r="BP124" s="12" t="str"/>
      <x:c r="BQ124" s="12" t="str"/>
    </x:row>
    <x:row r="125">
      <x:c r="A125" s="9" t="str">
        <x:v>3do-57</x:v>
      </x:c>
      <x:c r="B125" s="9" t="str">
        <x:v>vr-stalker</x:v>
      </x:c>
      <x:c r="C125" s="9" t="str">
        <x:v>3DO</x:v>
      </x:c>
      <x:c r="D125" s="9" t="str">
        <x:v>VR Stalker</x:v>
      </x:c>
      <x:c r="E125" s="9" t="str"/>
      <x:c r="F125" s="9" t="str">
        <x:v>Morpheus Interactive</x:v>
      </x:c>
      <x:c r="G125" s="9" t="str">
        <x:v>American Laser Games (NA), BMG Interactive (EU)</x:v>
      </x:c>
      <x:c r="H125" s="9" t="n">
        <x:v>1994</x:v>
      </x:c>
      <x:c r="I125" s="9" t="str">
        <x:v>Yes</x:v>
      </x:c>
      <x:c r="J125" s="9" t="str">
        <x:v>No</x:v>
      </x:c>
      <x:c r="K125" s="9" t="str">
        <x:v>Yes</x:v>
      </x:c>
      <x:c r="L125" s="9" t="str">
        <x:v>No</x:v>
      </x:c>
      <x:c r="M125" s="9" t="str">
        <x:v>Arcade flight combat sim</x:v>
      </x:c>
      <x:c r="N125" s="9" t="str">
        <x:v>Live-action</x:v>
      </x:c>
      <x:c r="O125" s="9" t="n">
        <x:v>2</x:v>
      </x:c>
      <x:c r="P125" s="9" t="str">
        <x:v>Cutscenes only</x:v>
      </x:c>
      <x:c r="Q125" s="9" t="str">
        <x:v>Released</x:v>
      </x:c>
      <x:c r="R125" s="9" t="str">
        <x:v>Original production; published by the Mad Dog McCree company</x:v>
      </x:c>
      <x:c r="S125" s="9" t="str">
        <x:v>None (3DO exclusive)</x:v>
      </x:c>
      <x:c r="T125" s="9" t="str">
        <x:v>Unnamed actors in mission briefings — verify</x:v>
      </x:c>
      <x:c r="U125" s="9" t="n">
        <x:v>1</x:v>
      </x:c>
      <x:c r="V125" s="9" t="str">
        <x:v>Yes</x:v>
      </x:c>
      <x:c r="W125" s="9" t="str">
        <x:v>Standard 3DO controller</x:v>
      </x:c>
      <x:c r="X125" s="9" t="str">
        <x:v>Low</x:v>
      </x:c>
      <x:c r="Y125" s="9" t="str"/>
      <x:c r="Z125" s="9" t="str">
        <x:v>3–4 hr</x:v>
      </x:c>
      <x:c r="AA125" s="9" t="str">
        <x:v>American Laser Games' lone non-shooting-gallery 3DO release: a cheesy flight sim from the studio founder who later built The Void.</x:v>
      </x:c>
      <x:c r="AB125" s="9" t="str">
        <x:v>Cheat mode: highlight Objective Menu and press LS, A, C, A, C, B, B, B (a creature picture appears), then C, LS, RS, C, RS, X, LS, A = god mode, B, B, B, LS, C, A, C, LS = 99,000 missiles, A, A, C, B, RS, LS, B, A = X2 superplane. Level passwords listed, e.g. Arizona 5KK-LQG-77K. (GameFAQs)</x:v>
      </x:c>
      <x:c r="AC125" s="9" t="str">
        <x:v>Live-action briefing cutscenes; small window, ~15 fps — verify extent</x:v>
      </x:c>
      <x:c r="AD125" s="9" t="str">
        <x:v>Fast and varied but shallow; mixed reviews (EGM 24/40)</x:v>
      </x:c>
      <x:c r="AE125" s="9" t="str">
        <x:v>Single ending</x:v>
      </x:c>
      <x:c r="AF125" s="9" t="str">
        <x:v>Billed as the first flight sim on 3DO. The PAL version was reworked in gameplay and graphics and resubmitted to The 3DO Company for approval.</x:v>
      </x:c>
      <x:c r="AG125" s="9" t="str">
        <x:v>NA long box (ALG 1994); PAL BMG release 1995 with revised gameplay</x:v>
      </x:c>
      <x:c r="AH125" s="9" t="str">
        <x:v>No</x:v>
      </x:c>
      <x:c r="AI125" s="9" t="str">
        <x:v>Easy</x:v>
      </x:c>
      <x:c r="AJ125" s="9"/>
      <x:c r="AK125" s="9" t="str">
        <x:v>FMV content not well documented online; confirm live-action briefings from footage before scheduling.</x:v>
      </x:c>
      <x:c r="AL125" s="10" t="n">
        <x:v>10.6</x:v>
      </x:c>
      <x:c r="AM125" s="10" t="n">
        <x:v>29.59</x:v>
      </x:c>
      <x:c r="AN125" s="10" t="n">
        <x:v>127.83</x:v>
      </x:c>
      <x:c r="AO125" s="9" t="str">
        <x:v>2026-10-20</x:v>
      </x:c>
      <x:c r="AP125" s="11" t="str">
        <x:f>HYPERLINK("https://www.pricecharting.com/search-products?q=VR+Stalker+3do&amp;type=prices","PriceCharting")</x:f>
        <x:v>PriceCharting</x:v>
      </x:c>
      <x:c r="AQ125" s="9"/>
      <x:c r="AR125" s="9"/>
      <x:c r="AS125" s="9"/>
      <x:c r="AT125" s="9"/>
      <x:c r="AU125" s="9"/>
      <x:c r="AV125" s="9"/>
      <x:c r="AW125" s="9"/>
      <x:c r="AX125" s="9"/>
      <x:c r="AY125" s="9" t="str">
        <x:v>61%</x:v>
      </x:c>
      <x:c r="AZ125" s="9" t="str">
        <x:v>3.3</x:v>
      </x:c>
      <x:c r="BA125" s="11" t="str">
        <x:f>HYPERLINK("https://www.mobygames.com/game/40223/vr-stalker/","MobyGames")</x:f>
        <x:v>MobyGames</x:v>
      </x:c>
      <x:c r="BB125" s="9"/>
      <x:c r="BC125" s="9"/>
      <x:c r="BD125" s="9"/>
      <x:c r="BE125" s="11" t="str">
        <x:f>HYPERLINK("https://en.wikipedia.org/wiki/VR_Stalker","Wikipedia")</x:f>
        <x:v>Wikipedia</x:v>
      </x:c>
      <x:c r="BF125" s="11" t="str">
        <x:f>HYPERLINK("https://backloggd.com/search/games/VR%20Stalker/","Backloggd")</x:f>
        <x:v>Backloggd</x:v>
      </x:c>
      <x:c r="BG125" s="9"/>
      <x:c r="BH125" s="9"/>
      <x:c r="BI125" s="12" t="str">
        <x:v>No</x:v>
      </x:c>
      <x:c r="BJ125" s="12" t="str"/>
      <x:c r="BK125" s="12" t="str">
        <x:v>No</x:v>
      </x:c>
      <x:c r="BL125" s="12" t="str"/>
      <x:c r="BM125" s="12" t="str"/>
      <x:c r="BN125" s="12" t="str"/>
      <x:c r="BO125" s="12" t="str"/>
      <x:c r="BP125" s="12" t="str"/>
      <x:c r="BQ125" s="12" t="str"/>
    </x:row>
    <x:row r="126">
      <x:c r="A126" s="9" t="str">
        <x:v>3do-58</x:v>
      </x:c>
      <x:c r="B126" s="9" t="str">
        <x:v>mazer</x:v>
      </x:c>
      <x:c r="C126" s="9" t="str">
        <x:v>3DO</x:v>
      </x:c>
      <x:c r="D126" s="9" t="str">
        <x:v>Mazer</x:v>
      </x:c>
      <x:c r="E126" s="9" t="str"/>
      <x:c r="F126" s="9" t="str">
        <x:v>American Laser Games</x:v>
      </x:c>
      <x:c r="G126" s="9" t="str">
        <x:v>American Laser Games (NA)</x:v>
      </x:c>
      <x:c r="H126" s="9" t="n">
        <x:v>1995</x:v>
      </x:c>
      <x:c r="I126" s="9" t="str">
        <x:v>Yes</x:v>
      </x:c>
      <x:c r="J126" s="9" t="str">
        <x:v>No</x:v>
      </x:c>
      <x:c r="K126" s="9" t="str">
        <x:v>No</x:v>
      </x:c>
      <x:c r="L126" s="9" t="str">
        <x:v>No</x:v>
      </x:c>
      <x:c r="M126" s="9" t="str">
        <x:v>Isometric run-and-gun shooter</x:v>
      </x:c>
      <x:c r="N126" s="9" t="str">
        <x:v>Pre-rendered CG</x:v>
      </x:c>
      <x:c r="O126" s="9" t="n">
        <x:v>1</x:v>
      </x:c>
      <x:c r="P126" s="9" t="str">
        <x:v>Cutscenes only</x:v>
      </x:c>
      <x:c r="Q126" s="9" t="str">
        <x:v>Released</x:v>
      </x:c>
      <x:c r="R126" s="9" t="str">
        <x:v>Original production; also released as an arcade cabinet (1995)</x:v>
      </x:c>
      <x:c r="S126" s="9" t="str">
        <x:v>Arcade (1995)</x:v>
      </x:c>
      <x:c r="T126" s="9" t="str">
        <x:v>Digitized actors as the four playable soldiers (unnamed)</x:v>
      </x:c>
      <x:c r="U126" s="9" t="n">
        <x:v>1</x:v>
      </x:c>
      <x:c r="V126" s="9" t="str">
        <x:v>Unknown — verify</x:v>
      </x:c>
      <x:c r="W126" s="9" t="str">
        <x:v>Standard 3DO controller; two-player</x:v>
      </x:c>
      <x:c r="X126" s="9" t="str">
        <x:v>Low</x:v>
      </x:c>
      <x:c r="Y126" s="9" t="str"/>
      <x:c r="Z126" s="9" t="str">
        <x:v>2–3 hr</x:v>
      </x:c>
      <x:c r="AA126" s="9" t="str">
        <x:v>The Mad Dog McCree studio tried a Smash TV-style shooter with digitized actors and got 1/5 from Next Generation.</x:v>
      </x:c>
      <x:c r="AB126" s="9" t="str">
        <x:v>None known</x:v>
      </x:c>
      <x:c r="AC126" s="9" t="str">
        <x:v>Pre-rendered CG intro and digitized-actor sprites; minimal streamed video — verify</x:v>
      </x:c>
      <x:c r="AD126" s="9" t="str">
        <x:v>Hard and repetitive; poor hit feedback</x:v>
      </x:c>
      <x:c r="AE126" s="9" t="str">
        <x:v>Single ending</x:v>
      </x:c>
      <x:c r="AF126" s="9" t="str">
        <x:v>Enemies are the 'Semag-Resal' — 'Laser Games' spelled backwards. One of ALG's last 3DO titles before it pivoted to children's software.</x:v>
      </x:c>
      <x:c r="AG126" s="9" t="str">
        <x:v>NA long box; arcade version</x:v>
      </x:c>
      <x:c r="AH126" s="9" t="str">
        <x:v>No</x:v>
      </x:c>
      <x:c r="AI126" s="9" t="str">
        <x:v>Easy</x:v>
      </x:c>
      <x:c r="AJ126" s="9"/>
      <x:c r="AK126" s="9" t="str">
        <x:v>EU/JP release unconfirmed (French Joystick review was likely an import). Streamed FMV content minimal — borderline inclusion.</x:v>
      </x:c>
      <x:c r="AL126" s="10" t="n">
        <x:v>20</x:v>
      </x:c>
      <x:c r="AM126" s="10" t="n">
        <x:v>69.99</x:v>
      </x:c>
      <x:c r="AN126" s="10" t="n">
        <x:v>110</x:v>
      </x:c>
      <x:c r="AO126" s="9" t="str">
        <x:v>2026-10-20</x:v>
      </x:c>
      <x:c r="AP126" s="11" t="str">
        <x:f>HYPERLINK("https://www.pricecharting.com/search-products?q=Mazer+3do&amp;type=prices","PriceCharting")</x:f>
        <x:v>PriceCharting</x:v>
      </x:c>
      <x:c r="AQ126" s="9"/>
      <x:c r="AR126" s="9"/>
      <x:c r="AS126" s="9"/>
      <x:c r="AT126" s="9"/>
      <x:c r="AU126" s="9"/>
      <x:c r="AV126" s="9"/>
      <x:c r="AW126" s="9"/>
      <x:c r="AX126" s="9"/>
      <x:c r="AY126" s="9" t="str">
        <x:v>50%</x:v>
      </x:c>
      <x:c r="AZ126" s="9" t="str">
        <x:v>2.7</x:v>
      </x:c>
      <x:c r="BA126" s="11" t="str">
        <x:f>HYPERLINK("https://www.mobygames.com/game/mazer","MobyGames")</x:f>
        <x:v>MobyGames</x:v>
      </x:c>
      <x:c r="BB126" s="9"/>
      <x:c r="BC126" s="9"/>
      <x:c r="BD126" s="9"/>
      <x:c r="BE126" s="11" t="str">
        <x:f>HYPERLINK("https://en.wikipedia.org/wiki/Mazer_(video_game)","Wikipedia")</x:f>
        <x:v>Wikipedia</x:v>
      </x:c>
      <x:c r="BF126" s="11" t="str">
        <x:f>HYPERLINK("https://backloggd.com/search/games/Mazer/","Backloggd")</x:f>
        <x:v>Backloggd</x:v>
      </x:c>
      <x:c r="BG126" s="9"/>
      <x:c r="BH126" s="9"/>
      <x:c r="BI126" s="12" t="str">
        <x:v>No</x:v>
      </x:c>
      <x:c r="BJ126" s="12" t="str"/>
      <x:c r="BK126" s="12" t="str">
        <x:v>No</x:v>
      </x:c>
      <x:c r="BL126" s="12" t="str"/>
      <x:c r="BM126" s="12" t="str"/>
      <x:c r="BN126" s="12" t="str"/>
      <x:c r="BO126" s="12" t="str"/>
      <x:c r="BP126" s="12" t="str"/>
      <x:c r="BQ126" s="12" t="str"/>
    </x:row>
    <x:row r="127">
      <x:c r="A127" s="9" t="str">
        <x:v>3do-59</x:v>
      </x:c>
      <x:c r="B127" s="9" t="str">
        <x:v>alone-in-the-dark</x:v>
      </x:c>
      <x:c r="C127" s="9" t="str">
        <x:v>3DO</x:v>
      </x:c>
      <x:c r="D127" s="9" t="str">
        <x:v>Alone in the Dark</x:v>
      </x:c>
      <x:c r="E127" s="9" t="str">
        <x:v>アローン・イン・ザ・ダーク (JP)</x:v>
      </x:c>
      <x:c r="F127" s="9" t="str">
        <x:v>Krisalis Software (3DO port of Infogrames original)</x:v>
      </x:c>
      <x:c r="G127" s="9" t="str">
        <x:v>Interplay / I•Motion (NA), Infogrames (EU) (Wikipedia); JP EA Victor per earlier research</x:v>
      </x:c>
      <x:c r="H127" s="9" t="n">
        <x:v>1994</x:v>
      </x:c>
      <x:c r="I127" s="9" t="str">
        <x:v>Yes</x:v>
      </x:c>
      <x:c r="J127" s="9" t="str">
        <x:v>Yes</x:v>
      </x:c>
      <x:c r="K127" s="9" t="str">
        <x:v>Yes</x:v>
      </x:c>
      <x:c r="L127" s="9" t="str">
        <x:v>No</x:v>
      </x:c>
      <x:c r="M127" s="9" t="str">
        <x:v>Survival horror adventure</x:v>
      </x:c>
      <x:c r="N127" s="9" t="str">
        <x:v>Pre-rendered CG</x:v>
      </x:c>
      <x:c r="O127" s="9" t="n">
        <x:v>1</x:v>
      </x:c>
      <x:c r="P127" s="9" t="str">
        <x:v>Cutscenes only</x:v>
      </x:c>
      <x:c r="Q127" s="9" t="str">
        <x:v>Released</x:v>
      </x:c>
      <x:c r="R127" s="9" t="str">
        <x:v>PC original (Infogrames, 1992)</x:v>
      </x:c>
      <x:c r="S127" s="9" t="str">
        <x:v>DOS, Mac, PC-98, FM Towns, RISC OS, iOS (2014); Jaguar CD/32X ports cancelled</x:v>
      </x:c>
      <x:c r="T127" s="9" t="str">
        <x:v>—</x:v>
      </x:c>
      <x:c r="U127" s="9" t="n">
        <x:v>1</x:v>
      </x:c>
      <x:c r="V127" s="9" t="str">
        <x:v>Yes</x:v>
      </x:c>
      <x:c r="W127" s="9" t="str">
        <x:v>Standard 3DO controller</x:v>
      </x:c>
      <x:c r="X127" s="9" t="str">
        <x:v>Low</x:v>
      </x:c>
      <x:c r="Y127" s="9" t="str"/>
      <x:c r="Z127" s="9" t="str">
        <x:v>2–4 hr</x:v>
      </x:c>
      <x:c r="AA127" s="9" t="str">
        <x:v>The survival-horror progenitor reached consoles first on 3DO, with CD audio and voiced text from the PC CD edition.</x:v>
      </x:c>
      <x:c r="AB127" s="9" t="str">
        <x:v>None known</x:v>
      </x:c>
      <x:c r="AC127" s="9" t="str">
        <x:v>Streamed video minimal: short rendered intro/ending; most cutscenes are engine polygons — verify</x:v>
      </x:c>
      <x:c r="AD127" s="9" t="str">
        <x:v>Moderate; instant deaths and obtuse puzzles</x:v>
      </x:c>
      <x:c r="AE127" s="9" t="str">
        <x:v>Single ending (plus death scenes)</x:v>
      </x:c>
      <x:c r="AF127" s="9" t="str">
        <x:v>Krisalis also handled the Archimedes port. EGM scored the 3DO version 9/8/7/8/8.</x:v>
      </x:c>
      <x:c r="AG127" s="9" t="str">
        <x:v>NA Interplay long box; EU Infogrames; JP EA Victor release</x:v>
      </x:c>
      <x:c r="AH127" s="9" t="str">
        <x:v>No (PC original on GOG/Steam)</x:v>
      </x:c>
      <x:c r="AI127" s="9" t="str">
        <x:v>Easy</x:v>
      </x:c>
      <x:c r="AJ127" s="9"/>
      <x:c r="AK127" s="9" t="str">
        <x:v>Likely minimal streamed FMV; included as a 'cutscenes only' edge case. Confirm 3DO-specific intro before use.</x:v>
      </x:c>
      <x:c r="AL127" s="10" t="n">
        <x:v>20.08</x:v>
      </x:c>
      <x:c r="AM127" s="10" t="n">
        <x:v>79.91</x:v>
      </x:c>
      <x:c r="AN127" s="10" t="n">
        <x:v>139.68</x:v>
      </x:c>
      <x:c r="AO127" s="9" t="str">
        <x:v>2026-10-20</x:v>
      </x:c>
      <x:c r="AP127" s="11" t="str">
        <x:f>HYPERLINK("https://www.pricecharting.com/search-products?q=Alone+in+the+Dark+3do&amp;type=prices","PriceCharting")</x:f>
        <x:v>PriceCharting</x:v>
      </x:c>
      <x:c r="AQ127" s="9"/>
      <x:c r="AR127" s="9"/>
      <x:c r="AS127" s="9"/>
      <x:c r="AT127" s="9"/>
      <x:c r="AU127" s="9"/>
      <x:c r="AV127" s="9"/>
      <x:c r="AW127" s="9"/>
      <x:c r="AX127" s="9"/>
      <x:c r="AY127" s="9" t="str">
        <x:v>73%</x:v>
      </x:c>
      <x:c r="AZ127" s="9" t="str">
        <x:v>3.8</x:v>
      </x:c>
      <x:c r="BA127" s="11" t="str">
        <x:f>HYPERLINK("https://www.mobygames.com/game/325/alone-in-the-dark/","MobyGames")</x:f>
        <x:v>MobyGames</x:v>
      </x:c>
      <x:c r="BB127" s="9"/>
      <x:c r="BC127" s="9"/>
      <x:c r="BD127" s="9"/>
      <x:c r="BE127" s="11" t="str">
        <x:f>HYPERLINK("https://en.wikipedia.org/wiki/Alone_in_the_Dark_(1992_video_game)","Wikipedia")</x:f>
        <x:v>Wikipedia</x:v>
      </x:c>
      <x:c r="BF127" s="11" t="str">
        <x:f>HYPERLINK("https://backloggd.com/search/games/Alone%20in%20the%20Dark/","Backloggd")</x:f>
        <x:v>Backloggd</x:v>
      </x:c>
      <x:c r="BG127" s="9"/>
      <x:c r="BH127" s="9"/>
      <x:c r="BI127" s="12" t="str">
        <x:v>No</x:v>
      </x:c>
      <x:c r="BJ127" s="12" t="str"/>
      <x:c r="BK127" s="12" t="str">
        <x:v>No</x:v>
      </x:c>
      <x:c r="BL127" s="12" t="str"/>
      <x:c r="BM127" s="12" t="str"/>
      <x:c r="BN127" s="12" t="str"/>
      <x:c r="BO127" s="12" t="str"/>
      <x:c r="BP127" s="12" t="str"/>
      <x:c r="BQ127" s="12" t="str"/>
    </x:row>
    <x:row r="128">
      <x:c r="A128" s="9" t="str">
        <x:v>3do-60</x:v>
      </x:c>
      <x:c r="B128" s="9" t="str">
        <x:v>alone-in-the-dark-2</x:v>
      </x:c>
      <x:c r="C128" s="9" t="str">
        <x:v>3DO</x:v>
      </x:c>
      <x:c r="D128" s="9" t="str">
        <x:v>Alone in the Dark 2</x:v>
      </x:c>
      <x:c r="E128" s="9" t="str">
        <x:v>Alone in the Dark 2: Jack Is Back (EU); アローン・イン・ザ・ダーク 2 (JP)</x:v>
      </x:c>
      <x:c r="F128" s="9" t="str">
        <x:v>Krisalis Software (3DO port of Infogrames original)</x:v>
      </x:c>
      <x:c r="G128" s="9" t="str">
        <x:v>Interplay Productions (NA 3DO), Infogrames (EU) (Wikipedia); JP EA Victor per earlier research</x:v>
      </x:c>
      <x:c r="H128" s="9" t="n">
        <x:v>1995</x:v>
      </x:c>
      <x:c r="I128" s="9" t="str">
        <x:v>Yes</x:v>
      </x:c>
      <x:c r="J128" s="9" t="str">
        <x:v>Yes</x:v>
      </x:c>
      <x:c r="K128" s="9" t="str">
        <x:v>Yes</x:v>
      </x:c>
      <x:c r="L128" s="9" t="str">
        <x:v>No</x:v>
      </x:c>
      <x:c r="M128" s="9" t="str">
        <x:v>Survival horror action-adventure</x:v>
      </x:c>
      <x:c r="N128" s="9" t="str">
        <x:v>Pre-rendered CG</x:v>
      </x:c>
      <x:c r="O128" s="9" t="n">
        <x:v>1</x:v>
      </x:c>
      <x:c r="P128" s="9" t="str">
        <x:v>Cutscenes only</x:v>
      </x:c>
      <x:c r="Q128" s="9" t="str">
        <x:v>Released</x:v>
      </x:c>
      <x:c r="R128" s="9" t="str">
        <x:v>PC original (Infogrames, 1993)</x:v>
      </x:c>
      <x:c r="S128" s="9" t="str">
        <x:v>DOS, PC-98, FM Towns, Mac, Saturn, PlayStation</x:v>
      </x:c>
      <x:c r="T128" s="9" t="str">
        <x:v>—</x:v>
      </x:c>
      <x:c r="U128" s="9" t="n">
        <x:v>1</x:v>
      </x:c>
      <x:c r="V128" s="9" t="str">
        <x:v>Yes</x:v>
      </x:c>
      <x:c r="W128" s="9" t="str">
        <x:v>Standard 3DO controller</x:v>
      </x:c>
      <x:c r="X128" s="9" t="str">
        <x:v>Low</x:v>
      </x:c>
      <x:c r="Y128" s="9" t="str"/>
      <x:c r="Z128" s="9" t="str">
        <x:v>3–5 hr</x:v>
      </x:c>
      <x:c r="AA128" s="9" t="str">
        <x:v>A 'direct port of the PC title' that hit 3DO in late 1995 just as the Saturn/PS1 remakes with new FMV were arriving.</x:v>
      </x:c>
      <x:c r="AB128" s="9" t="str">
        <x:v>None known</x:v>
      </x:c>
      <x:c r="AC128" s="9" t="str">
        <x:v>Minimal streamed video; cinematics are largely engine-rendered — verify</x:v>
      </x:c>
      <x:c r="AD128" s="9" t="str">
        <x:v>Hard; combat-heavy with fixed camera angles</x:v>
      </x:c>
      <x:c r="AE128" s="9" t="str">
        <x:v>Single ending</x:v>
      </x:c>
      <x:c r="AF128" s="9" t="str">
        <x:v>Maximum (2/5) complained the 3DO port used flat-shaded polygons, a smaller screen and a low frame rate, calling the game too old to convert.</x:v>
      </x:c>
      <x:c r="AG128" s="9" t="str">
        <x:v>NA Interplay (Nov 22 1995); EU 'Jack Is Back'; JP EA Victor</x:v>
      </x:c>
      <x:c r="AH128" s="9" t="str">
        <x:v>No (PC original on GOG/Steam)</x:v>
      </x:c>
      <x:c r="AI128" s="9" t="str">
        <x:v>Easy</x:v>
      </x:c>
      <x:c r="AJ128" s="9"/>
      <x:c r="AK128" s="9" t="str">
        <x:v>The Saturn/PS1 versions got the new FMV, not 3DO. Borderline inclusion.</x:v>
      </x:c>
      <x:c r="AL128" s="10" t="n">
        <x:v>15.55</x:v>
      </x:c>
      <x:c r="AM128" s="10" t="n">
        <x:v>39.98</x:v>
      </x:c>
      <x:c r="AN128" s="10" t="n">
        <x:v>123.39</x:v>
      </x:c>
      <x:c r="AO128" s="9" t="str">
        <x:v>2026-10-20</x:v>
      </x:c>
      <x:c r="AP128" s="11" t="str">
        <x:f>HYPERLINK("https://www.pricecharting.com/search-products?q=Alone+in+the+Dark+2+3do&amp;type=prices","PriceCharting")</x:f>
        <x:v>PriceCharting</x:v>
      </x:c>
      <x:c r="AQ128" s="9"/>
      <x:c r="AR128" s="9"/>
      <x:c r="AS128" s="9"/>
      <x:c r="AT128" s="9"/>
      <x:c r="AU128" s="9"/>
      <x:c r="AV128" s="9"/>
      <x:c r="AW128" s="9"/>
      <x:c r="AX128" s="9"/>
      <x:c r="AY128" s="9" t="str">
        <x:v>75%</x:v>
      </x:c>
      <x:c r="AZ128" s="9" t="str">
        <x:v>3.5</x:v>
      </x:c>
      <x:c r="BA128" s="11" t="str">
        <x:f>HYPERLINK("https://www.mobygames.com/game/907/alone-in-the-dark-2/","MobyGames")</x:f>
        <x:v>MobyGames</x:v>
      </x:c>
      <x:c r="BB128" s="9"/>
      <x:c r="BC128" s="9"/>
      <x:c r="BD128" s="9"/>
      <x:c r="BE128" s="11" t="str">
        <x:f>HYPERLINK("https://en.wikipedia.org/wiki/Alone_in_the_Dark_2_(video_game)","Wikipedia")</x:f>
        <x:v>Wikipedia</x:v>
      </x:c>
      <x:c r="BF128" s="11" t="str">
        <x:f>HYPERLINK("https://backloggd.com/search/games/Alone%20in%20the%20Dark%202/","Backloggd")</x:f>
        <x:v>Backloggd</x:v>
      </x:c>
      <x:c r="BG128" s="9"/>
      <x:c r="BH128" s="9"/>
      <x:c r="BI128" s="12" t="str">
        <x:v>No</x:v>
      </x:c>
      <x:c r="BJ128" s="12" t="str"/>
      <x:c r="BK128" s="12" t="str">
        <x:v>No</x:v>
      </x:c>
      <x:c r="BL128" s="12" t="str"/>
      <x:c r="BM128" s="12" t="str"/>
      <x:c r="BN128" s="12" t="str"/>
      <x:c r="BO128" s="12" t="str"/>
      <x:c r="BP128" s="12" t="str"/>
      <x:c r="BQ128" s="12" t="str"/>
    </x:row>
    <x:row r="129">
      <x:c r="A129" s="9" t="str">
        <x:v>3do-61</x:v>
      </x:c>
      <x:c r="B129" s="9" t="str">
        <x:v>rise-of-the-robots</x:v>
      </x:c>
      <x:c r="C129" s="9" t="str">
        <x:v>3DO</x:v>
      </x:c>
      <x:c r="D129" s="9" t="str">
        <x:v>Rise of the Robots</x:v>
      </x:c>
      <x:c r="E129" s="9" t="str"/>
      <x:c r="F129" s="9" t="str">
        <x:v>Mirage Technologies, additional work by Instinct Design (Wikipedia); 3DO publisher Absolute Entertainment. Port studio not named in Wikipedia.</x:v>
      </x:c>
      <x:c r="G129" s="9" t="str">
        <x:v>Absolute Entertainment (NA/EU)</x:v>
      </x:c>
      <x:c r="H129" s="9" t="n">
        <x:v>1995</x:v>
      </x:c>
      <x:c r="I129" s="9" t="str">
        <x:v>Yes</x:v>
      </x:c>
      <x:c r="J129" s="9" t="str">
        <x:v>No</x:v>
      </x:c>
      <x:c r="K129" s="9" t="str">
        <x:v>Yes</x:v>
      </x:c>
      <x:c r="L129" s="9" t="str">
        <x:v>No</x:v>
      </x:c>
      <x:c r="M129" s="9" t="str">
        <x:v>Fighting</x:v>
      </x:c>
      <x:c r="N129" s="9" t="str">
        <x:v>Pre-rendered CG</x:v>
      </x:c>
      <x:c r="O129" s="9" t="n">
        <x:v>2</x:v>
      </x:c>
      <x:c r="P129" s="9" t="str">
        <x:v>Cutscenes only</x:v>
      </x:c>
      <x:c r="Q129" s="9" t="str">
        <x:v>Released</x:v>
      </x:c>
      <x:c r="R129" s="9" t="str">
        <x:v>Amiga/PC original (Mirage, 1994)</x:v>
      </x:c>
      <x:c r="S129" s="9" t="str">
        <x:v>Amiga, CD32, DOS, SNES, Mega Drive, Game Gear, CD-i; arcade prototype</x:v>
      </x:c>
      <x:c r="T129" s="9" t="str">
        <x:v>Brian May (Queen) contributed the track 'The Dark'</x:v>
      </x:c>
      <x:c r="U129" s="9" t="n">
        <x:v>1</x:v>
      </x:c>
      <x:c r="V129" s="9" t="str">
        <x:v>Unknown — verify</x:v>
      </x:c>
      <x:c r="W129" s="9" t="str">
        <x:v>Standard 3DO controller</x:v>
      </x:c>
      <x:c r="X129" s="9" t="str">
        <x:v>Med</x:v>
      </x:c>
      <x:c r="Y129" s="9" t="str">
        <x:v>Brian May's 'The Dark' in the intro/title</x:v>
      </x:c>
      <x:c r="Z129" s="9" t="str">
        <x:v>1 hr</x:v>
      </x:c>
      <x:c r="AA129" s="9" t="str">
        <x:v>The most hyped and most hated fighter of 1994 landed on 3DO with its longest-ever pre-rendered cyborg cinematics.</x:v>
      </x:c>
      <x:c r="AB129" s="9" t="str">
        <x:v>Supervisor playable via code on some versions — 3DO unverified</x:v>
      </x:c>
      <x:c r="AC129" s="9" t="str">
        <x:v>Lengthy pre-rendered CG intro and character cinemas; near-full window, ~15 fps</x:v>
      </x:c>
      <x:c r="AD129" s="9" t="str">
        <x:v>Frustrating; tiny move set, hard to even land basic punches</x:v>
      </x:c>
      <x:c r="AE129" s="9" t="str">
        <x:v>Single ending; can only play as the Cyborg in story mode</x:v>
      </x:c>
      <x:c r="AF129" s="9" t="str">
        <x:v>Absolute kept the 3DO rights when it sold the others back to Mirage. EGM gave it 3.5/10 and called it 'by far the worst fighting game I've ever seen.'</x:v>
      </x:c>
      <x:c r="AG129" s="9" t="str">
        <x:v>NA Absolute long box; EU release Mar 1995</x:v>
      </x:c>
      <x:c r="AH129" s="9" t="str">
        <x:v>No</x:v>
      </x:c>
      <x:c r="AI129" s="9" t="str">
        <x:v>Easy</x:v>
      </x:c>
      <x:c r="AJ129" s="9"/>
      <x:c r="AK129" s="9" t="str">
        <x:v>Reviewers singled out the overlong cinemas and load times on 3DO.</x:v>
      </x:c>
      <x:c r="AL129" s="10" t="n">
        <x:v>14</x:v>
      </x:c>
      <x:c r="AM129" s="10" t="n">
        <x:v>32.23</x:v>
      </x:c>
      <x:c r="AN129" s="10" t="n">
        <x:v>64.46</x:v>
      </x:c>
      <x:c r="AO129" s="9" t="str">
        <x:v>2026-10-20</x:v>
      </x:c>
      <x:c r="AP129" s="11" t="str">
        <x:f>HYPERLINK("https://www.pricecharting.com/search-products?q=Rise+of+the+Robots+3do&amp;type=prices","PriceCharting")</x:f>
        <x:v>PriceCharting</x:v>
      </x:c>
      <x:c r="AQ129" s="9"/>
      <x:c r="AR129" s="9"/>
      <x:c r="AS129" s="9"/>
      <x:c r="AT129" s="9"/>
      <x:c r="AU129" s="9"/>
      <x:c r="AV129" s="9"/>
      <x:c r="AW129" s="9"/>
      <x:c r="AX129" s="9"/>
      <x:c r="AY129" s="9" t="str">
        <x:v>27%</x:v>
      </x:c>
      <x:c r="AZ129" s="9" t="str">
        <x:v>1.5</x:v>
      </x:c>
      <x:c r="BA129" s="11" t="str">
        <x:f>HYPERLINK("https://www.mobygames.com/game/3do/rise-of-the-robots","MobyGames")</x:f>
        <x:v>MobyGames</x:v>
      </x:c>
      <x:c r="BB129" s="9"/>
      <x:c r="BC129" s="9"/>
      <x:c r="BD129" s="9"/>
      <x:c r="BE129" s="11" t="str">
        <x:f>HYPERLINK("https://en.wikipedia.org/wiki/Rise_of_the_Robots","Wikipedia")</x:f>
        <x:v>Wikipedia</x:v>
      </x:c>
      <x:c r="BF129" s="11" t="str">
        <x:f>HYPERLINK("https://backloggd.com/search/games/Rise%20of%20the%20Robots/","Backloggd")</x:f>
        <x:v>Backloggd</x:v>
      </x:c>
      <x:c r="BG129" s="9"/>
      <x:c r="BH129" s="9"/>
      <x:c r="BI129" s="12" t="str">
        <x:v>No</x:v>
      </x:c>
      <x:c r="BJ129" s="12" t="str"/>
      <x:c r="BK129" s="12" t="str">
        <x:v>No</x:v>
      </x:c>
      <x:c r="BL129" s="12" t="str"/>
      <x:c r="BM129" s="12" t="str"/>
      <x:c r="BN129" s="12" t="str"/>
      <x:c r="BO129" s="12" t="str"/>
      <x:c r="BP129" s="12" t="str"/>
      <x:c r="BQ129" s="12" t="str"/>
    </x:row>
    <x:row r="130">
      <x:c r="A130" s="9" t="str">
        <x:v>3do-62</x:v>
      </x:c>
      <x:c r="B130" s="9" t="str">
        <x:v>sesame-street-numbers</x:v>
      </x:c>
      <x:c r="C130" s="9" t="str">
        <x:v>3DO</x:v>
      </x:c>
      <x:c r="D130" s="9" t="str">
        <x:v>Sesame Street: Numbers</x:v>
      </x:c>
      <x:c r="E130" s="9" t="str">
        <x:v>A Visit to Sesame Street: Numbers</x:v>
      </x:c>
      <x:c r="F130" s="9" t="str">
        <x:v>Viridis Corporation</x:v>
      </x:c>
      <x:c r="G130" s="9" t="str">
        <x:v>EA Kids / Electronic Arts (NA)</x:v>
      </x:c>
      <x:c r="H130" s="9" t="n">
        <x:v>1994</x:v>
      </x:c>
      <x:c r="I130" s="9" t="str">
        <x:v>Yes</x:v>
      </x:c>
      <x:c r="J130" s="9" t="str">
        <x:v>No</x:v>
      </x:c>
      <x:c r="K130" s="9" t="str">
        <x:v>No</x:v>
      </x:c>
      <x:c r="L130" s="9" t="str">
        <x:v>No</x:v>
      </x:c>
      <x:c r="M130" s="9" t="str">
        <x:v>Educational / edutainment</x:v>
      </x:c>
      <x:c r="N130" s="9" t="str">
        <x:v>Live-action</x:v>
      </x:c>
      <x:c r="O130" s="9" t="n">
        <x:v>4</x:v>
      </x:c>
      <x:c r="P130" s="9" t="str">
        <x:v>Cutscenes only</x:v>
      </x:c>
      <x:c r="Q130" s="9" t="str">
        <x:v>Released</x:v>
      </x:c>
      <x:c r="R130" s="9" t="str">
        <x:v>TV license (Sesame Street); DOS/CD-i original 1991–92 ported to 3DO</x:v>
      </x:c>
      <x:c r="S130" s="9" t="str">
        <x:v>DOS, CD-i</x:v>
      </x:c>
      <x:c r="T130" s="9" t="str">
        <x:v>Muppet performers in archival clips: Caroll Spinney, Frank Oz, Jim Henson, Kevin Clash, Jerry Nelson, Martin P. Robinson</x:v>
      </x:c>
      <x:c r="U130" s="9" t="n">
        <x:v>1</x:v>
      </x:c>
      <x:c r="V130" s="9" t="str">
        <x:v>No</x:v>
      </x:c>
      <x:c r="W130" s="9" t="str">
        <x:v>Standard 3DO controller</x:v>
      </x:c>
      <x:c r="X130" s="9" t="str">
        <x:v>HIGH</x:v>
      </x:c>
      <x:c r="Y130" s="9" t="str">
        <x:v>Sesame Workshop TV clips and songs (counting segments, Count von Count, etc.)</x:v>
      </x:c>
      <x:c r="Z130" s="9" t="str">
        <x:v>30–45 min</x:v>
      </x:c>
      <x:c r="AA130" s="9" t="str">
        <x:v>Elmo leads toddlers through five locations stuffed with vintage 1970s–80s Sesame Street counting clips on a $700 console.</x:v>
      </x:c>
      <x:c r="AB130" s="9" t="str">
        <x:v>None known</x:v>
      </x:c>
      <x:c r="AC130" s="9" t="str">
        <x:v>Archival TV clips (puppet and animated segments) in a reduced window, ~15 fps, VHS-quality source</x:v>
      </x:c>
      <x:c r="AD130" s="9" t="str">
        <x:v>None; click-and-see for preschoolers</x:v>
      </x:c>
      <x:c r="AE130" s="9" t="str">
        <x:v>No ending; free-play hub</x:v>
      </x:c>
      <x:c r="AF130" s="9" t="str">
        <x:v>Originally built for CD-i and DOS by Viridis in 1991–92; a Letters companion was also released. RetroAchievements has a set for it.</x:v>
      </x:c>
      <x:c r="AG130" s="9" t="str">
        <x:v>NA EA Kids long box; companion title Sesame Street: Letters</x:v>
      </x:c>
      <x:c r="AH130" s="9" t="str">
        <x:v>No</x:v>
      </x:c>
      <x:c r="AI130" s="9" t="str">
        <x:v>Easy</x:v>
      </x:c>
      <x:c r="AJ130" s="9"/>
      <x:c r="AK130" s="9" t="str">
        <x:v>Video is the main attraction (TV clips and songs), so fmv rated 4 despite 'cutscenes' category. NA-only release.</x:v>
      </x:c>
      <x:c r="AL130" s="10" t="n">
        <x:v>25.15</x:v>
      </x:c>
      <x:c r="AM130" s="10" t="n">
        <x:v>61.5</x:v>
      </x:c>
      <x:c r="AN130" s="10" t="n">
        <x:v>123</x:v>
      </x:c>
      <x:c r="AO130" s="9" t="str">
        <x:v>2026-10-20</x:v>
      </x:c>
      <x:c r="AP130" s="11" t="str">
        <x:f>HYPERLINK("https://www.pricecharting.com/search-products?q=Sesame+Street%3A+Numbers+3do&amp;type=prices","PriceCharting")</x:f>
        <x:v>PriceCharting</x:v>
      </x:c>
      <x:c r="AQ130" s="9"/>
      <x:c r="AR130" s="9"/>
      <x:c r="AS130" s="9"/>
      <x:c r="AT130" s="9"/>
      <x:c r="AU130" s="9"/>
      <x:c r="AV130" s="9"/>
      <x:c r="AW130" s="9"/>
      <x:c r="AX130" s="9"/>
      <x:c r="AY130" s="9"/>
      <x:c r="AZ130" s="9"/>
      <x:c r="BA130" s="11" t="str">
        <x:f>HYPERLINK("https://www.mobygames.com/game/3do/sesame-street-numbers","MobyGames")</x:f>
        <x:v>MobyGames</x:v>
      </x:c>
      <x:c r="BB130" s="9"/>
      <x:c r="BC130" s="9"/>
      <x:c r="BD130" s="9"/>
      <x:c r="BE130" s="11" t="str">
        <x:f>HYPERLINK("https://en.wikipedia.org/wiki/Sesame_Street_video_games","Wikipedia")</x:f>
        <x:v>Wikipedia</x:v>
      </x:c>
      <x:c r="BF130" s="11" t="str">
        <x:f>HYPERLINK("https://backloggd.com/search/games/Sesame%20Street%3A%20Numbers/","Backloggd")</x:f>
        <x:v>Backloggd</x:v>
      </x:c>
      <x:c r="BG130" s="9"/>
      <x:c r="BH130" s="9"/>
      <x:c r="BI130" s="12" t="str">
        <x:v>No</x:v>
      </x:c>
      <x:c r="BJ130" s="12" t="str"/>
      <x:c r="BK130" s="12" t="str">
        <x:v>No</x:v>
      </x:c>
      <x:c r="BL130" s="12" t="str"/>
      <x:c r="BM130" s="12" t="str"/>
      <x:c r="BN130" s="12" t="str"/>
      <x:c r="BO130" s="12" t="str"/>
      <x:c r="BP130" s="12" t="str"/>
      <x:c r="BQ130" s="12" t="str"/>
    </x:row>
    <x:row r="131">
      <x:c r="A131" s="9" t="str">
        <x:v>3do-63</x:v>
      </x:c>
      <x:c r="B131" s="9" t="str">
        <x:v>gex</x:v>
      </x:c>
      <x:c r="C131" s="9" t="str">
        <x:v>3DO</x:v>
      </x:c>
      <x:c r="D131" s="9" t="str">
        <x:v>Gex</x:v>
      </x:c>
      <x:c r="E131" s="9" t="str">
        <x:v>ゲックス (JP)</x:v>
      </x:c>
      <x:c r="F131" s="9" t="str">
        <x:v>Crystal Dynamics</x:v>
      </x:c>
      <x:c r="G131" s="9" t="str">
        <x:v>Crystal Dynamics (NA/JP), BMG Interactive (UK/EU)</x:v>
      </x:c>
      <x:c r="H131" s="9" t="n">
        <x:v>1995</x:v>
      </x:c>
      <x:c r="I131" s="9" t="str">
        <x:v>Yes</x:v>
      </x:c>
      <x:c r="J131" s="9" t="str">
        <x:v>Yes</x:v>
      </x:c>
      <x:c r="K131" s="9" t="str">
        <x:v>Yes</x:v>
      </x:c>
      <x:c r="L131" s="9" t="str">
        <x:v>No</x:v>
      </x:c>
      <x:c r="M131" s="9" t="str">
        <x:v>2D platformer</x:v>
      </x:c>
      <x:c r="N131" s="9" t="str">
        <x:v>Pre-rendered CG</x:v>
      </x:c>
      <x:c r="O131" s="9" t="n">
        <x:v>1</x:v>
      </x:c>
      <x:c r="P131" s="9" t="str">
        <x:v>Cutscenes only</x:v>
      </x:c>
      <x:c r="Q131" s="9" t="str">
        <x:v>Released</x:v>
      </x:c>
      <x:c r="R131" s="9" t="str">
        <x:v>Original production; 3DO is the original platform</x:v>
      </x:c>
      <x:c r="S131" s="9" t="str">
        <x:v>PlayStation, Saturn (1995–96), Windows (1996), PSN (2009), Gex Trilogy (2025)</x:v>
      </x:c>
      <x:c r="T131" s="9" t="str">
        <x:v>Dana Gould (voice of Gex; wrote all his dialogue)</x:v>
      </x:c>
      <x:c r="U131" s="9" t="n">
        <x:v>1</x:v>
      </x:c>
      <x:c r="V131" s="9" t="str">
        <x:v>Yes</x:v>
      </x:c>
      <x:c r="W131" s="9" t="str">
        <x:v>Standard 3DO controller</x:v>
      </x:c>
      <x:c r="X131" s="9" t="str">
        <x:v>Low</x:v>
      </x:c>
      <x:c r="Y131" s="9" t="str"/>
      <x:c r="Z131" s="9" t="str">
        <x:v>5–8 hr</x:v>
      </x:c>
      <x:c r="AA131" s="9" t="str">
        <x:v>The 3DO's million-selling mascot platformer, with Dana Gould one-liners and an 18-minute hidden staff-photo credits reel.</x:v>
      </x:c>
      <x:c r="AB131" s="9" t="str">
        <x:v>Hidden code opens a stage select with 80+ slots; a hidden shooter minigame (Evan Wells' Stanford project)</x:v>
      </x:c>
      <x:c r="AC131" s="9" t="str">
        <x:v>Short pre-rendered CG intro/outro; near-full window, ~15 fps; later ports cleaned up the cinemas</x:v>
      </x:c>
      <x:c r="AD131" s="9" t="str">
        <x:v>Moderate; 28 levels, boss stages gate saves</x:v>
      </x:c>
      <x:c r="AE131" s="9" t="str">
        <x:v>Standard ending plus hidden 18-min credits sequence for full completion</x:v>
      </x:c>
      <x:c r="AF131" s="9" t="str">
        <x:v>A designer whose level was cut hid messages in the game and was fired after playtesters found them. Development ran 21 months past a June 1994 target.</x:v>
      </x:c>
      <x:c r="AG131" s="9" t="str">
        <x:v>NA long box; JP Apr 21 1995; UK BMG May 12 1995; later Panasonic console bundles</x:v>
      </x:c>
      <x:c r="AH131" s="9" t="str">
        <x:v>Yes (Gex Trilogy, Limited Run 2025 — PS1-based, not the 3DO version; PSN 2009)</x:v>
      </x:c>
      <x:c r="AI131" s="9" t="str">
        <x:v>Easy</x:v>
      </x:c>
      <x:c r="AJ131" s="9"/>
      <x:c r="AK131" s="9" t="str">
        <x:v>3DO is the only version with battery saves; others use passwords. Sales ~750k–1M.</x:v>
      </x:c>
      <x:c r="AL131" s="10" t="n">
        <x:v>28.1</x:v>
      </x:c>
      <x:c r="AM131" s="10" t="n">
        <x:v>59</x:v>
      </x:c>
      <x:c r="AN131" s="10" t="n">
        <x:v>105.42</x:v>
      </x:c>
      <x:c r="AO131" s="9" t="str">
        <x:v>2026-10-20</x:v>
      </x:c>
      <x:c r="AP131" s="11" t="str">
        <x:f>HYPERLINK("https://www.pricecharting.com/search-products?q=Gex+3do&amp;type=prices","PriceCharting")</x:f>
        <x:v>PriceCharting</x:v>
      </x:c>
      <x:c r="AQ131" s="9"/>
      <x:c r="AR131" s="9"/>
      <x:c r="AS131" s="9"/>
      <x:c r="AT131" s="9"/>
      <x:c r="AU131" s="9"/>
      <x:c r="AV131" s="9"/>
      <x:c r="AW131" s="9"/>
      <x:c r="AX131" s="9"/>
      <x:c r="AY131" s="9" t="str">
        <x:v>74%</x:v>
      </x:c>
      <x:c r="AZ131" s="9" t="str">
        <x:v>3.6</x:v>
      </x:c>
      <x:c r="BA131" s="11" t="str">
        <x:f>HYPERLINK("https://www.mobygames.com/game/8333/gex/","MobyGames")</x:f>
        <x:v>MobyGames</x:v>
      </x:c>
      <x:c r="BB131" s="9"/>
      <x:c r="BC131" s="9"/>
      <x:c r="BD131" s="9"/>
      <x:c r="BE131" s="11" t="str">
        <x:f>HYPERLINK("https://en.wikipedia.org/wiki/Gex_(video_game)","Wikipedia")</x:f>
        <x:v>Wikipedia</x:v>
      </x:c>
      <x:c r="BF131" s="11" t="str">
        <x:f>HYPERLINK("https://backloggd.com/search/games/Gex/","Backloggd")</x:f>
        <x:v>Backloggd</x:v>
      </x:c>
      <x:c r="BG131" s="9"/>
      <x:c r="BH131" s="9"/>
      <x:c r="BI131" s="12" t="str">
        <x:v>No</x:v>
      </x:c>
      <x:c r="BJ131" s="12" t="str"/>
      <x:c r="BK131" s="12" t="str">
        <x:v>No</x:v>
      </x:c>
      <x:c r="BL131" s="12" t="str"/>
      <x:c r="BM131" s="12" t="str"/>
      <x:c r="BN131" s="12" t="str"/>
      <x:c r="BO131" s="12" t="str"/>
      <x:c r="BP131" s="12" t="str"/>
      <x:c r="BQ131" s="12" t="str"/>
    </x:row>
    <x:row r="132">
      <x:c r="A132" s="9" t="str">
        <x:v>3do-64</x:v>
      </x:c>
      <x:c r="B132" s="9" t="str">
        <x:v>captain-quazar</x:v>
      </x:c>
      <x:c r="C132" s="9" t="str">
        <x:v>3DO</x:v>
      </x:c>
      <x:c r="D132" s="9" t="str">
        <x:v>Captain Quazar</x:v>
      </x:c>
      <x:c r="E132" s="9" t="str"/>
      <x:c r="F132" s="9" t="str">
        <x:v>Cyclone Studios</x:v>
      </x:c>
      <x:c r="G132" s="9" t="str">
        <x:v>The 3DO Company (NA/EU)</x:v>
      </x:c>
      <x:c r="H132" s="9" t="n">
        <x:v>1996</x:v>
      </x:c>
      <x:c r="I132" s="9" t="str">
        <x:v>Yes</x:v>
      </x:c>
      <x:c r="J132" s="9" t="str">
        <x:v>No</x:v>
      </x:c>
      <x:c r="K132" s="9" t="str">
        <x:v>Yes</x:v>
      </x:c>
      <x:c r="L132" s="9" t="str">
        <x:v>No</x:v>
      </x:c>
      <x:c r="M132" s="9" t="str">
        <x:v>Isometric run-and-gun action</x:v>
      </x:c>
      <x:c r="N132" s="9" t="str">
        <x:v>Pre-rendered CG</x:v>
      </x:c>
      <x:c r="O132" s="9" t="n">
        <x:v>2</x:v>
      </x:c>
      <x:c r="P132" s="9" t="str">
        <x:v>Cutscenes only</x:v>
      </x:c>
      <x:c r="Q132" s="9" t="str">
        <x:v>Released</x:v>
      </x:c>
      <x:c r="R132" s="9" t="str">
        <x:v>Original production funded by 3DO</x:v>
      </x:c>
      <x:c r="S132" s="9" t="str">
        <x:v>Windows 95 (1997)</x:v>
      </x:c>
      <x:c r="T132" s="9" t="str">
        <x:v>—</x:v>
      </x:c>
      <x:c r="U132" s="9" t="n">
        <x:v>1</x:v>
      </x:c>
      <x:c r="V132" s="9" t="str">
        <x:v>Yes</x:v>
      </x:c>
      <x:c r="W132" s="9" t="str">
        <x:v>Standard 3DO controller; two-player co-op</x:v>
      </x:c>
      <x:c r="X132" s="9" t="str">
        <x:v>Low</x:v>
      </x:c>
      <x:c r="Y132" s="9" t="str"/>
      <x:c r="Z132" s="9" t="str">
        <x:v>4–6 hr</x:v>
      </x:c>
      <x:c r="AA132" s="9" t="str">
        <x:v>A square-jawed parody space hero built by two guys in a garage, with CG cinemas EGM called 'compelling' and 3DO's own money behind it.</x:v>
      </x:c>
      <x:c r="AB132" s="9" t="str">
        <x:v>Super power-up: pause (P) and press L, R, L, R, L, R, B. Teleporter codes per level open secret areas (e.g. level 1 BACACABA = Money Fort). Interrogating enemies reveals secret levels and items. (GameFAQs)</x:v>
      </x:c>
      <x:c r="AC132" s="9" t="str">
        <x:v>Pre-rendered CG intro and between-level cinemas; near-full window, ~15 fps</x:v>
      </x:c>
      <x:c r="AD132" s="9" t="str">
        <x:v>Moderate; large levels, resource management</x:v>
      </x:c>
      <x:c r="AE132" s="9" t="str">
        <x:v>Single ending</x:v>
      </x:c>
      <x:c r="AF132" s="9" t="str">
        <x:v>Cyclone's first project: founders Helmut Kobler and Ron Little prototyped it over six months in Palo Alto and East Oakland before 3DO funded it.</x:v>
      </x:c>
      <x:c r="AG132" s="9" t="str">
        <x:v>NA/EU long box (Feb 1996); Windows port 1997</x:v>
      </x:c>
      <x:c r="AH132" s="9" t="str">
        <x:v>No</x:v>
      </x:c>
      <x:c r="AI132" s="9" t="str">
        <x:v>Easy</x:v>
      </x:c>
      <x:c r="AJ132" s="9"/>
      <x:c r="AK132" s="9" t="str">
        <x:v>JP release unconfirmed — verify. Saves allowed only at level start.</x:v>
      </x:c>
      <x:c r="AL132" s="10" t="n">
        <x:v>76.69</x:v>
      </x:c>
      <x:c r="AM132" s="10" t="n">
        <x:v>147.53</x:v>
      </x:c>
      <x:c r="AN132" s="10" t="n">
        <x:v>241.25</x:v>
      </x:c>
      <x:c r="AO132" s="9" t="str">
        <x:v>2026-10-20</x:v>
      </x:c>
      <x:c r="AP132" s="11" t="str">
        <x:f>HYPERLINK("https://www.pricecharting.com/search-products?q=Captain+Quazar+3do&amp;type=prices","PriceCharting")</x:f>
        <x:v>PriceCharting</x:v>
      </x:c>
      <x:c r="AQ132" s="9"/>
      <x:c r="AR132" s="9"/>
      <x:c r="AS132" s="9"/>
      <x:c r="AT132" s="9"/>
      <x:c r="AU132" s="9"/>
      <x:c r="AV132" s="9"/>
      <x:c r="AW132" s="9"/>
      <x:c r="AX132" s="9"/>
      <x:c r="AY132" s="9" t="str">
        <x:v>70%</x:v>
      </x:c>
      <x:c r="AZ132" s="9" t="str">
        <x:v>4.0</x:v>
      </x:c>
      <x:c r="BA132" s="11" t="str">
        <x:f>HYPERLINK("https://www.mobygames.com/game/1495/captain-quazar/","MobyGames")</x:f>
        <x:v>MobyGames</x:v>
      </x:c>
      <x:c r="BB132" s="9"/>
      <x:c r="BC132" s="9"/>
      <x:c r="BD132" s="9"/>
      <x:c r="BE132" s="11" t="str">
        <x:f>HYPERLINK("https://en.wikipedia.org/wiki/Captain_Quazar","Wikipedia")</x:f>
        <x:v>Wikipedia</x:v>
      </x:c>
      <x:c r="BF132" s="11" t="str">
        <x:f>HYPERLINK("https://backloggd.com/search/games/Captain%20Quazar/","Backloggd")</x:f>
        <x:v>Backloggd</x:v>
      </x:c>
      <x:c r="BG132" s="9"/>
      <x:c r="BH132" s="9"/>
      <x:c r="BI132" s="12" t="str">
        <x:v>No</x:v>
      </x:c>
      <x:c r="BJ132" s="12" t="str"/>
      <x:c r="BK132" s="12" t="str">
        <x:v>No</x:v>
      </x:c>
      <x:c r="BL132" s="12" t="str"/>
      <x:c r="BM132" s="12" t="str"/>
      <x:c r="BN132" s="12" t="str"/>
      <x:c r="BO132" s="12" t="str"/>
      <x:c r="BP132" s="12" t="str"/>
      <x:c r="BQ132" s="12" t="str"/>
    </x:row>
    <x:row r="133">
      <x:c r="A133" s="9" t="str">
        <x:v>3do-65</x:v>
      </x:c>
      <x:c r="B133" s="9" t="str">
        <x:v>immercenary</x:v>
      </x:c>
      <x:c r="C133" s="9" t="str">
        <x:v>3DO</x:v>
      </x:c>
      <x:c r="D133" s="9" t="str">
        <x:v>Immercenary</x:v>
      </x:c>
      <x:c r="E133" s="9" t="str">
        <x:v>Perfect (working title); パーフェクトワールド / Perfect World (JP)</x:v>
      </x:c>
      <x:c r="F133" s="9" t="str">
        <x:v>Five Miles Out</x:v>
      </x:c>
      <x:c r="G133" s="9" t="str">
        <x:v>Electronic Arts (NA/EU), Electronic Arts Victor (JP)</x:v>
      </x:c>
      <x:c r="H133" s="9" t="n">
        <x:v>1995</x:v>
      </x:c>
      <x:c r="I133" s="9" t="str">
        <x:v>Yes</x:v>
      </x:c>
      <x:c r="J133" s="9" t="str">
        <x:v>Yes</x:v>
      </x:c>
      <x:c r="K133" s="9" t="str">
        <x:v>Yes</x:v>
      </x:c>
      <x:c r="L133" s="9" t="str">
        <x:v>No</x:v>
      </x:c>
      <x:c r="M133" s="9" t="str">
        <x:v>First-person action RPG / shooter</x:v>
      </x:c>
      <x:c r="N133" s="9" t="str">
        <x:v>Live-action</x:v>
      </x:c>
      <x:c r="O133" s="9" t="n">
        <x:v>3</x:v>
      </x:c>
      <x:c r="P133" s="9" t="str">
        <x:v>Cutscenes only</x:v>
      </x:c>
      <x:c r="Q133" s="9" t="str">
        <x:v>Released</x:v>
      </x:c>
      <x:c r="R133" s="9" t="str">
        <x:v>Original production inspired by Neal Stephenson's Snow Crash</x:v>
      </x:c>
      <x:c r="S133" s="9" t="str">
        <x:v>None (3DO exclusive)</x:v>
      </x:c>
      <x:c r="T133" s="9" t="str">
        <x:v>Chris Stashuk (Chameleon; FMO co-founder); video production headed by Marla Johnson-Norris</x:v>
      </x:c>
      <x:c r="U133" s="9" t="n">
        <x:v>1</x:v>
      </x:c>
      <x:c r="V133" s="9" t="str">
        <x:v>Yes</x:v>
      </x:c>
      <x:c r="W133" s="9" t="str">
        <x:v>Standard 3DO controller</x:v>
      </x:c>
      <x:c r="X133" s="9" t="str">
        <x:v>Low</x:v>
      </x:c>
      <x:c r="Y133" s="9" t="str"/>
      <x:c r="Z133" s="9" t="str">
        <x:v>6–10 hr</x:v>
      </x:c>
      <x:c r="AA133" s="9" t="str">
        <x:v>A Snow Crash-inspired cyberspace deathmatch RPG where you 'jack out' to live-action real-world scenes shot on video to save money.</x:v>
      </x:c>
      <x:c r="AB133" s="9" t="str">
        <x:v>None known</x:v>
      </x:c>
      <x:c r="AC133" s="9" t="str">
        <x:v>Live-action video cutscenes in the 'real world' hub; reduced window, ~15 fps, shot on video not film</x:v>
      </x:c>
      <x:c r="AD133" s="9" t="str">
        <x:v>Moderate to hard; level-based ranking climb through Perfect's citizens</x:v>
      </x:c>
      <x:c r="AE133" s="9" t="str">
        <x:v>Single ending on defeating Perfect1</x:v>
      </x:c>
      <x:c r="AF133" s="9" t="str">
        <x:v>Conceived in 1993 at EA producer Jim Simmons' request to showcase the 3DO; EA renamed it from 'Perfect' to Immercenary. Writer Elton Pruitt drew heavily on Snow Crash.</x:v>
      </x:c>
      <x:c r="AG133" s="9" t="str">
        <x:v>NA long box (Mar 1995); EU release; JP EA Victor Sep 22 1995</x:v>
      </x:c>
      <x:c r="AH133" s="9" t="str">
        <x:v>No</x:v>
      </x:c>
      <x:c r="AI133" s="9" t="str">
        <x:v>Easy</x:v>
      </x:c>
      <x:c r="AJ133" s="9"/>
      <x:c r="AK133" s="9" t="str">
        <x:v>Often cited as a forgotten precursor to online-style deathmatch RPGs.</x:v>
      </x:c>
      <x:c r="AL133" s="10" t="n">
        <x:v>18.81</x:v>
      </x:c>
      <x:c r="AM133" s="10" t="n">
        <x:v>45</x:v>
      </x:c>
      <x:c r="AN133" s="10" t="n">
        <x:v>62.45</x:v>
      </x:c>
      <x:c r="AO133" s="9" t="str">
        <x:v>2026-10-20</x:v>
      </x:c>
      <x:c r="AP133" s="11" t="str">
        <x:f>HYPERLINK("https://www.pricecharting.com/search-products?q=Immercenary+3do&amp;type=prices","PriceCharting")</x:f>
        <x:v>PriceCharting</x:v>
      </x:c>
      <x:c r="AQ133" s="9"/>
      <x:c r="AR133" s="9"/>
      <x:c r="AS133" s="9"/>
      <x:c r="AT133" s="9"/>
      <x:c r="AU133" s="9"/>
      <x:c r="AV133" s="9"/>
      <x:c r="AW133" s="9"/>
      <x:c r="AX133" s="9"/>
      <x:c r="AY133" s="9" t="str">
        <x:v>70%</x:v>
      </x:c>
      <x:c r="AZ133" s="9" t="str">
        <x:v>4.1</x:v>
      </x:c>
      <x:c r="BA133" s="11" t="str">
        <x:f>HYPERLINK("https://www.mobygames.com/game/12720/immercenary/","MobyGames")</x:f>
        <x:v>MobyGames</x:v>
      </x:c>
      <x:c r="BB133" s="9"/>
      <x:c r="BC133" s="9"/>
      <x:c r="BD133" s="9"/>
      <x:c r="BE133" s="11" t="str">
        <x:f>HYPERLINK("https://en.wikipedia.org/wiki/Immercenary","Wikipedia")</x:f>
        <x:v>Wikipedia</x:v>
      </x:c>
      <x:c r="BF133" s="11" t="str">
        <x:f>HYPERLINK("https://backloggd.com/search/games/Immercenary/","Backloggd")</x:f>
        <x:v>Backloggd</x:v>
      </x:c>
      <x:c r="BG133" s="9"/>
      <x:c r="BH133" s="9"/>
      <x:c r="BI133" s="12" t="str">
        <x:v>No</x:v>
      </x:c>
      <x:c r="BJ133" s="12" t="str"/>
      <x:c r="BK133" s="12" t="str">
        <x:v>No</x:v>
      </x:c>
      <x:c r="BL133" s="12" t="str"/>
      <x:c r="BM133" s="12" t="str"/>
      <x:c r="BN133" s="12" t="str"/>
      <x:c r="BO133" s="12" t="str"/>
      <x:c r="BP133" s="12" t="str"/>
      <x:c r="BQ133" s="12" t="str"/>
    </x:row>
    <x:row r="134">
      <x:c r="A134" s="9" t="str">
        <x:v>3do-66</x:v>
      </x:c>
      <x:c r="B134" s="9" t="str">
        <x:v>burning-soldier</x:v>
      </x:c>
      <x:c r="C134" s="9" t="str">
        <x:v>3DO</x:v>
      </x:c>
      <x:c r="D134" s="9" t="str">
        <x:v>Burning Soldier</x:v>
      </x:c>
      <x:c r="E134" s="9" t="str">
        <x:v>バーニングソルジャー (JP, same title)</x:v>
      </x:c>
      <x:c r="F134" s="9" t="str">
        <x:v>Genki</x:v>
      </x:c>
      <x:c r="G134" s="9" t="str">
        <x:v>Pack-In-Video (JP), Panasonic Software (NA/EU)</x:v>
      </x:c>
      <x:c r="H134" s="9" t="n">
        <x:v>1994</x:v>
      </x:c>
      <x:c r="I134" s="9" t="str">
        <x:v>Yes</x:v>
      </x:c>
      <x:c r="J134" s="9" t="str">
        <x:v>Yes</x:v>
      </x:c>
      <x:c r="K134" s="9" t="str">
        <x:v>Yes</x:v>
      </x:c>
      <x:c r="L134" s="9" t="str">
        <x:v>No</x:v>
      </x:c>
      <x:c r="M134" s="9" t="str">
        <x:v>Rail shooter</x:v>
      </x:c>
      <x:c r="N134" s="9" t="str">
        <x:v>Pre-rendered CG</x:v>
      </x:c>
      <x:c r="O134" s="9" t="n">
        <x:v>9</x:v>
      </x:c>
      <x:c r="P134" s="9" t="str">
        <x:v>Pre-rendered CG</x:v>
      </x:c>
      <x:c r="Q134" s="9" t="str">
        <x:v>Released</x:v>
      </x:c>
      <x:c r="R134" s="9" t="str">
        <x:v>Original production (Genki's first 3DO title)</x:v>
      </x:c>
      <x:c r="S134" s="9" t="str">
        <x:v>Windows 95 (Japan only, 1998, Itochu)</x:v>
      </x:c>
      <x:c r="T134" s="9" t="str">
        <x:v>Nigel Hogge (narration); Robbie Danzie (ending vocal 'Summer Leads the Way')</x:v>
      </x:c>
      <x:c r="U134" s="9" t="n">
        <x:v>1</x:v>
      </x:c>
      <x:c r="V134" s="9" t="str">
        <x:v>Unknown — verify (score save to NVRAM likely; infinite continues restart current mission)</x:v>
      </x:c>
      <x:c r="W134" s="9" t="str">
        <x:v>Standard 3DO control pad; 2 players simultaneous (debug mode allows 4)</x:v>
      </x:c>
      <x:c r="X134" s="9" t="str">
        <x:v>Low</x:v>
      </x:c>
      <x:c r="Y134" s="9" t="str"/>
      <x:c r="Z134" s="9" t="str">
        <x:v>45 min – 1.5 hr</x:v>
      </x:c>
      <x:c r="AA134" s="9" t="str">
        <x:v>A 3DO rail shooter where the pre-rendered movie never loops — if the video ends before the boss dies, you lose, no matter your health.</x:v>
      </x:c>
      <x:c r="AB134" s="9" t="str">
        <x:v>Debug/hidden mode enabling 4-player play reported; stage select unverified</x:v>
      </x:c>
      <x:c r="AC134" s="9" t="str">
        <x:v>Near full-screen pre-rendered Cinepak-style CG streamed continuously, ~15 fps, sprites overlaid; praised as best 3DO FMV of 1994 by GameFan</x:v>
      </x:c>
      <x:c r="AD134" s="9" t="str">
        <x:v>Easy-to-moderate; no extra lives but unlimited continues, boss timeouts can force game over</x:v>
      </x:c>
      <x:c r="AE134" s="9" t="str">
        <x:v>Single ending; linear mission sequence</x:v>
      </x:c>
      <x:c r="AF134" s="9" t="str">
        <x:v>Both JP and Western releases are fully voiced in English with no subtitles; GameFan gave it Best FMV and Best Music (3DO) 1994, while Edge called it 'the most uninspiring 3DO release ever'.</x:v>
      </x:c>
      <x:c r="AG134" s="9" t="str">
        <x:v>JP Pack-In-Video release; NA/EU Panasonic long-box; Polydor arranged-soundtrack album (JP, Sept 1994)</x:v>
      </x:c>
      <x:c r="AH134" s="9" t="str">
        <x:v>No</x:v>
      </x:c>
      <x:c r="AI134" s="9" t="str">
        <x:v>Easy</x:v>
      </x:c>
      <x:c r="AJ134" s="9"/>
      <x:c r="AK134" s="9" t="str">
        <x:v>Whole game is streamed pre-rendered video with sprite overlays (Rebel Assault model). FMV 9.</x:v>
      </x:c>
      <x:c r="AL134" s="10" t="n">
        <x:v>16.01</x:v>
      </x:c>
      <x:c r="AM134" s="10" t="n">
        <x:v>31.06</x:v>
      </x:c>
      <x:c r="AN134" s="10" t="n">
        <x:v>56.56</x:v>
      </x:c>
      <x:c r="AO134" s="9" t="str">
        <x:v>2026-10-20</x:v>
      </x:c>
      <x:c r="AP134" s="11" t="str">
        <x:f>HYPERLINK("https://www.pricecharting.com/search-products?q=Burning+Soldier+3do&amp;type=prices","PriceCharting")</x:f>
        <x:v>PriceCharting</x:v>
      </x:c>
      <x:c r="AQ134" s="9"/>
      <x:c r="AR134" s="9"/>
      <x:c r="AS134" s="9"/>
      <x:c r="AT134" s="9"/>
      <x:c r="AU134" s="9"/>
      <x:c r="AV134" s="9"/>
      <x:c r="AW134" s="9"/>
      <x:c r="AX134" s="9"/>
      <x:c r="AY134" s="9" t="str">
        <x:v>59%</x:v>
      </x:c>
      <x:c r="AZ134" s="9" t="str">
        <x:v>3.3</x:v>
      </x:c>
      <x:c r="BA134" s="11" t="str">
        <x:f>HYPERLINK("https://www.mobygames.com/game/3do/burning-soldier","MobyGames")</x:f>
        <x:v>MobyGames</x:v>
      </x:c>
      <x:c r="BB134" s="9"/>
      <x:c r="BC134" s="9"/>
      <x:c r="BD134" s="9"/>
      <x:c r="BE134" s="11" t="str">
        <x:f>HYPERLINK("https://en.wikipedia.org/wiki/Burning_Soldier","Wikipedia")</x:f>
        <x:v>Wikipedia</x:v>
      </x:c>
      <x:c r="BF134" s="11" t="str">
        <x:f>HYPERLINK("https://backloggd.com/search/games/Burning%20Soldier/","Backloggd")</x:f>
        <x:v>Backloggd</x:v>
      </x:c>
      <x:c r="BG134" s="9"/>
      <x:c r="BH134" s="9"/>
      <x:c r="BI134" s="12" t="str">
        <x:v>No</x:v>
      </x:c>
      <x:c r="BJ134" s="12" t="str"/>
      <x:c r="BK134" s="12" t="str">
        <x:v>No</x:v>
      </x:c>
      <x:c r="BL134" s="12" t="str"/>
      <x:c r="BM134" s="12" t="str"/>
      <x:c r="BN134" s="12" t="str"/>
      <x:c r="BO134" s="12" t="str"/>
      <x:c r="BP134" s="12" t="str"/>
      <x:c r="BQ134" s="12" t="str"/>
    </x:row>
    <x:row r="135">
      <x:c r="A135" s="9" t="str">
        <x:v>3do-67</x:v>
      </x:c>
      <x:c r="B135" s="9" t="str">
        <x:v>theatre-wars-goraku-no-dendo</x:v>
      </x:c>
      <x:c r="C135" s="9" t="str">
        <x:v>3DO</x:v>
      </x:c>
      <x:c r="D135" s="9" t="str">
        <x:v>Theatre Wars: Goraku no Dendo</x:v>
      </x:c>
      <x:c r="E135" s="9" t="str">
        <x:v>シアターウォーズ 娯楽の殿堂 (Theatre Wars: Goraku no Dendou)</x:v>
      </x:c>
      <x:c r="F135" s="9" t="str">
        <x:v>Scitron &amp; Art</x:v>
      </x:c>
      <x:c r="G135" s="9" t="str">
        <x:v>Hakuhodo / Hamlet (JP)</x:v>
      </x:c>
      <x:c r="H135" s="9" t="n">
        <x:v>1994</x:v>
      </x:c>
      <x:c r="I135" s="9" t="str">
        <x:v>No</x:v>
      </x:c>
      <x:c r="J135" s="9" t="str">
        <x:v>Yes</x:v>
      </x:c>
      <x:c r="K135" s="9" t="str">
        <x:v>No</x:v>
      </x:c>
      <x:c r="L135" s="9" t="str">
        <x:v>No</x:v>
      </x:c>
      <x:c r="M135" s="9" t="str">
        <x:v>Theatre-management simulation</x:v>
      </x:c>
      <x:c r="N135" s="9" t="str">
        <x:v>Live-action</x:v>
      </x:c>
      <x:c r="O135" s="9" t="n">
        <x:v>5</x:v>
      </x:c>
      <x:c r="P135" s="9" t="str">
        <x:v>Interactive movie</x:v>
      </x:c>
      <x:c r="Q135" s="9" t="str">
        <x:v>Released</x:v>
      </x:c>
      <x:c r="R135" s="9" t="str">
        <x:v>Original production (ad-agency Hakuhodo multimedia title)</x:v>
      </x:c>
      <x:c r="S135" s="9" t="str">
        <x:v>3DO exclusive</x:v>
      </x:c>
      <x:c r="T135" s="9" t="str">
        <x:v>Unknown — verify (Japanese stage performers/dancers)</x:v>
      </x:c>
      <x:c r="U135" s="9" t="n">
        <x:v>1</x:v>
      </x:c>
      <x:c r="V135" s="9" t="str">
        <x:v>Unknown — verify</x:v>
      </x:c>
      <x:c r="W135" s="9" t="str">
        <x:v>Standard 3DO control pad</x:v>
      </x:c>
      <x:c r="X135" s="9" t="str">
        <x:v>Low–Med</x:v>
      </x:c>
      <x:c r="Y135" s="9" t="str">
        <x:v>Music used in the staged show sequences</x:v>
      </x:c>
      <x:c r="Z135" s="9" t="str">
        <x:v>2–4 hr</x:v>
      </x:c>
      <x:c r="AA135" s="9" t="str">
        <x:v>Run a theatre in the year 2050, budget for sets, dancers and music, and watch your show play out as video — or go bankrupt and become a parking lot.</x:v>
      </x:c>
      <x:c r="AB135" s="9" t="str">
        <x:v>None known</x:v>
      </x:c>
      <x:c r="AC135" s="9" t="str">
        <x:v>Windowed live-action show/performance clips, ~15 fps (verify)</x:v>
      </x:c>
      <x:c r="AD135" s="9" t="str">
        <x:v>Opaque Japanese-only management; easy to go bankrupt</x:v>
      </x:c>
      <x:c r="AE135" s="9" t="str">
        <x:v>Success/bankruptcy outcomes per stage; theatre demolished on failure</x:v>
      </x:c>
      <x:c r="AF135" s="9" t="str">
        <x:v>Published by advertising giant Hakuhodo (released May 14 1994); MobyGames tags it 'Full Motion Video'. Featured in Nerd &amp; Tie's '3DOh No!' series as 'not very' good.</x:v>
      </x:c>
      <x:c r="AG135" s="9" t="str">
        <x:v>JP only</x:v>
      </x:c>
      <x:c r="AH135" s="9" t="str">
        <x:v>No</x:v>
      </x:c>
      <x:c r="AI135" s="9" t="str">
        <x:v>Easy</x:v>
      </x:c>
      <x:c r="AJ135" s="9"/>
      <x:c r="AK135" s="9" t="str">
        <x:v>Theatre-management sim set in 2050: you budget for sets, dancers and music, and a badly reviewed show bankrupts you (MobyGames, Giant Bomb). Released May 14, 1994 (JP). MobyGames tags it Full Motion Video, but how much of the show is streamed video is still unconfirmed, so fmv 5 is an estimate; the 3DOh No! let's play on YouTube shows it. PriceCharting has a page but no recorded sales.</x:v>
      </x:c>
      <x:c r="AL135" s="10"/>
      <x:c r="AM135" s="10"/>
      <x:c r="AN135" s="10"/>
      <x:c r="AO135" s="9"/>
      <x:c r="AP135" s="11" t="str">
        <x:f>HYPERLINK("https://www.pricecharting.com/game/3do/theatre-wars-goraku-no-dendo","PriceCharting")</x:f>
        <x:v>PriceCharting</x:v>
      </x:c>
      <x:c r="AQ135" s="9"/>
      <x:c r="AR135" s="9"/>
      <x:c r="AS135" s="9"/>
      <x:c r="AT135" s="9"/>
      <x:c r="AU135" s="9"/>
      <x:c r="AV135" s="9"/>
      <x:c r="AW135" s="9"/>
      <x:c r="AX135" s="9"/>
      <x:c r="AY135" s="9" t="str">
        <x:v>68%</x:v>
      </x:c>
      <x:c r="AZ135" s="9"/>
      <x:c r="BA135" s="11" t="str">
        <x:f>HYPERLINK("https://www.mobygames.com/game/157320/theatre-wars-goraku-no-dendo/","MobyGames")</x:f>
        <x:v>MobyGames</x:v>
      </x:c>
      <x:c r="BB135" s="9"/>
      <x:c r="BC135" s="9"/>
      <x:c r="BD135" s="9"/>
      <x:c r="BE135" s="9"/>
      <x:c r="BF135" s="11" t="str">
        <x:f>HYPERLINK("https://backloggd.com/search/games/Theatre%20Wars%3A%20Goraku%20no%20Dendo/","Backloggd")</x:f>
        <x:v>Backloggd</x:v>
      </x:c>
      <x:c r="BG135" s="9"/>
      <x:c r="BH135" s="9"/>
      <x:c r="BI135" s="12" t="str">
        <x:v>No</x:v>
      </x:c>
      <x:c r="BJ135" s="12" t="str"/>
      <x:c r="BK135" s="12" t="str">
        <x:v>No</x:v>
      </x:c>
      <x:c r="BL135" s="12" t="str"/>
      <x:c r="BM135" s="12" t="str"/>
      <x:c r="BN135" s="12" t="str"/>
      <x:c r="BO135" s="12" t="str"/>
      <x:c r="BP135" s="12" t="str"/>
      <x:c r="BQ135" s="12" t="str"/>
    </x:row>
    <x:row r="136">
      <x:c r="A136" s="9" t="str">
        <x:v>3do-68</x:v>
      </x:c>
      <x:c r="B136" s="9" t="str">
        <x:v>casper</x:v>
      </x:c>
      <x:c r="C136" s="9" t="str">
        <x:v>3DO</x:v>
      </x:c>
      <x:c r="D136" s="9" t="str">
        <x:v>Casper</x:v>
      </x:c>
      <x:c r="E136" s="9" t="str"/>
      <x:c r="F136" s="9" t="str">
        <x:v>Interplay Productions (Logicware: additional programming)</x:v>
      </x:c>
      <x:c r="G136" s="9" t="str">
        <x:v>Interplay (NA)</x:v>
      </x:c>
      <x:c r="H136" s="9" t="n">
        <x:v>1996</x:v>
      </x:c>
      <x:c r="I136" s="9" t="str">
        <x:v>Yes</x:v>
      </x:c>
      <x:c r="J136" s="9" t="str">
        <x:v>No</x:v>
      </x:c>
      <x:c r="K136" s="9" t="str">
        <x:v>No</x:v>
      </x:c>
      <x:c r="L136" s="9" t="str">
        <x:v>No</x:v>
      </x:c>
      <x:c r="M136" s="9" t="str">
        <x:v>Top-down action-adventure / puzzle</x:v>
      </x:c>
      <x:c r="N136" s="9" t="str">
        <x:v>Pre-rendered CG</x:v>
      </x:c>
      <x:c r="O136" s="9" t="n">
        <x:v>1</x:v>
      </x:c>
      <x:c r="P136" s="9" t="str">
        <x:v>Cutscenes only</x:v>
      </x:c>
      <x:c r="Q136" s="9" t="str">
        <x:v>Released</x:v>
      </x:c>
      <x:c r="R136" s="9" t="str">
        <x:v>Film license (Casper, 1995, Universal/Amblin)</x:v>
      </x:c>
      <x:c r="S136" s="9" t="str">
        <x:v>PlayStation, Saturn (same game); different Casper games on SNES, Game Boy, 3DO is this version</x:v>
      </x:c>
      <x:c r="T136" s="9" t="str">
        <x:v>Malachi Pearson (Casper), Brad Garrett (Fatso), Joe Nipote (Stretch), Joe Alaskey (Stinkie) — reprising film voices</x:v>
      </x:c>
      <x:c r="U136" s="9" t="n">
        <x:v>1</x:v>
      </x:c>
      <x:c r="V136" s="9" t="str">
        <x:v>Unknown — verify (likely NVRAM save)</x:v>
      </x:c>
      <x:c r="W136" s="9" t="str">
        <x:v>Standard 3DO control pad</x:v>
      </x:c>
      <x:c r="X136" s="9" t="str">
        <x:v>Low–Med</x:v>
      </x:c>
      <x:c r="Y136" s="9" t="str">
        <x:v>Film-derived score cues and dialogue in cutscenes</x:v>
      </x:c>
      <x:c r="Z136" s="9" t="str">
        <x:v>3–5 hr (three acts)</x:v>
      </x:c>
      <x:c r="AA136" s="9" t="str">
        <x:v>The very last 3DO game released in North America — a pre-rendered Casper puzzle adventure with the movie's actual ghost voices.</x:v>
      </x:c>
      <x:c r="AB136" s="9" t="str">
        <x:v>None known</x:v>
      </x:c>
      <x:c r="AC136" s="9" t="str">
        <x:v>Short pre-rendered intro/act transitions (SGI/Alias renders); gameplay uses pre-rendered sprites, not streamed video</x:v>
      </x:c>
      <x:c r="AD136" s="9" t="str">
        <x:v>Moderate; obscure puzzles and disorienting mansion layout per EGM</x:v>
      </x:c>
      <x:c r="AE136" s="9" t="str">
        <x:v>Single ending</x:v>
      </x:c>
      <x:c r="AF136" s="9" t="str">
        <x:v>Graphics rendered on Silicon Graphics workstations with Alias; Next Generation praised the ghosts' true transparency. Widely cited as the 3DO's final NA release (Sept 1996).</x:v>
      </x:c>
      <x:c r="AG136" s="9" t="str">
        <x:v>NA only on 3DO; PS/Saturn versions in NA/EU/JP</x:v>
      </x:c>
      <x:c r="AH136" s="9" t="str">
        <x:v>No</x:v>
      </x:c>
      <x:c r="AI136" s="9" t="str">
        <x:v>Easy</x:v>
      </x:c>
      <x:c r="AJ136" s="9"/>
      <x:c r="AK136" s="9" t="str">
        <x:v>Not an FMV game: streamed video limited to brief rendered cinematics (unverified). fmv 1.</x:v>
      </x:c>
      <x:c r="AL136" s="10" t="n">
        <x:v>42.12</x:v>
      </x:c>
      <x:c r="AM136" s="10" t="n">
        <x:v>168.2</x:v>
      </x:c>
      <x:c r="AN136" s="10" t="n">
        <x:v>209.5</x:v>
      </x:c>
      <x:c r="AO136" s="9" t="str">
        <x:v>2026-10-20</x:v>
      </x:c>
      <x:c r="AP136" s="11" t="str">
        <x:f>HYPERLINK("https://www.pricecharting.com/search-products?q=Casper+3do&amp;type=prices","PriceCharting")</x:f>
        <x:v>PriceCharting</x:v>
      </x:c>
      <x:c r="AQ136" s="9"/>
      <x:c r="AR136" s="9"/>
      <x:c r="AS136" s="9"/>
      <x:c r="AT136" s="9"/>
      <x:c r="AU136" s="9"/>
      <x:c r="AV136" s="9"/>
      <x:c r="AW136" s="9"/>
      <x:c r="AX136" s="9"/>
      <x:c r="AY136" s="9"/>
      <x:c r="AZ136" s="9"/>
      <x:c r="BA136" s="11" t="str">
        <x:f>HYPERLINK("https://www.mobygames.com/game/3do/casper","MobyGames")</x:f>
        <x:v>MobyGames</x:v>
      </x:c>
      <x:c r="BB136" s="9" t="str">
        <x:v>72%</x:v>
      </x:c>
      <x:c r="BC136" s="9" t="str">
        <x:v>GameRankings, 2 reviews</x:v>
      </x:c>
      <x:c r="BD136" s="9" t="str">
        <x:f>HYPERLINK("https://web.archive.org/web/20191209011010id_/https://www.gamerankings.com/3do/584323-casper/","Source")</x:f>
        <x:v>Source</x:v>
      </x:c>
      <x:c r="BE136" s="11" t="str">
        <x:f>HYPERLINK("https://en.wikipedia.org/wiki/Casper_(video_game)","Wikipedia")</x:f>
        <x:v>Wikipedia</x:v>
      </x:c>
      <x:c r="BF136" s="11" t="str">
        <x:f>HYPERLINK("https://backloggd.com/search/games/Casper/","Backloggd")</x:f>
        <x:v>Backloggd</x:v>
      </x:c>
      <x:c r="BG136" s="9"/>
      <x:c r="BH136" s="9"/>
      <x:c r="BI136" s="12" t="str">
        <x:v>No</x:v>
      </x:c>
      <x:c r="BJ136" s="12" t="str"/>
      <x:c r="BK136" s="12" t="str">
        <x:v>No</x:v>
      </x:c>
      <x:c r="BL136" s="12" t="str"/>
      <x:c r="BM136" s="12" t="str"/>
      <x:c r="BN136" s="12" t="str"/>
      <x:c r="BO136" s="12" t="str"/>
      <x:c r="BP136" s="12" t="str"/>
      <x:c r="BQ136" s="12" t="str"/>
    </x:row>
    <x:row r="137">
      <x:c r="A137" s="9" t="str">
        <x:v>3do-69</x:v>
      </x:c>
      <x:c r="B137" s="9" t="str">
        <x:v>sailor-moon</x:v>
      </x:c>
      <x:c r="C137" s="9" t="str">
        <x:v>3DO</x:v>
      </x:c>
      <x:c r="D137" s="9" t="str">
        <x:v>Sailor Moon (Pretty Soldier Sailor Moon S, 3DO)</x:v>
      </x:c>
      <x:c r="E137" s="9" t="str">
        <x:v>Bishoujo Senshi Sailor Moon S (JP)</x:v>
      </x:c>
      <x:c r="F137" s="9" t="str">
        <x:v>Tose</x:v>
      </x:c>
      <x:c r="G137" s="9" t="str">
        <x:v>Bandai (JP)</x:v>
      </x:c>
      <x:c r="H137" s="9" t="n">
        <x:v>1995</x:v>
      </x:c>
      <x:c r="I137" s="9" t="str">
        <x:v>No</x:v>
      </x:c>
      <x:c r="J137" s="9" t="str">
        <x:v>Yes</x:v>
      </x:c>
      <x:c r="K137" s="9" t="str">
        <x:v>No</x:v>
      </x:c>
      <x:c r="L137" s="9" t="str">
        <x:v>No</x:v>
      </x:c>
      <x:c r="M137" s="9" t="str">
        <x:v>2D fighting</x:v>
      </x:c>
      <x:c r="N137" s="9" t="str">
        <x:v>Animated</x:v>
      </x:c>
      <x:c r="O137" s="9" t="n">
        <x:v>2</x:v>
      </x:c>
      <x:c r="P137" s="9" t="str">
        <x:v>Cutscenes only</x:v>
      </x:c>
      <x:c r="Q137" s="9" t="str">
        <x:v>Released</x:v>
      </x:c>
      <x:c r="R137" s="9" t="str">
        <x:v>Anime/manga license (Sailor Moon S)</x:v>
      </x:c>
      <x:c r="S137" s="9" t="str">
        <x:v>3DO exclusive (other Sailor Moon S fighters on SNES/PS/Saturn are different games)</x:v>
      </x:c>
      <x:c r="T137" s="9" t="str">
        <x:v>Anime seiyuu reprising roles incl. Kotono Mitsuishi (Sailor Moon)</x:v>
      </x:c>
      <x:c r="U137" s="9" t="n">
        <x:v>1</x:v>
      </x:c>
      <x:c r="V137" s="9" t="str">
        <x:v>Unknown — verify</x:v>
      </x:c>
      <x:c r="W137" s="9" t="str">
        <x:v>Standard 3DO control pad; 2 players</x:v>
      </x:c>
      <x:c r="X137" s="9" t="str">
        <x:v>Med–High</x:v>
      </x:c>
      <x:c r="Y137" s="9" t="str">
        <x:v>Toei anime footage and licensed Sailor Moon theme music in the opening</x:v>
      </x:c>
      <x:c r="Z137" s="9" t="str">
        <x:v>30–45 min per arcade run</x:v>
      </x:c>
      <x:c r="AA137" s="9" t="str">
        <x:v>The only Sailor Moon fighter with the anime cast on 3DO — Naoko Takeuchi supervised it, and it still sold under 20,000 copies.</x:v>
      </x:c>
      <x:c r="AB137" s="9" t="str">
        <x:v>Easy mode for one-button specials; no codes widely known</x:v>
      </x:c>
      <x:c r="AC137" s="9" t="str">
        <x:v>Anime opening/ending clips streamed in a window, ~15 fps; in-game is 2D sprites with zooming camera</x:v>
      </x:c>
      <x:c r="AD137" s="9" t="str">
        <x:v>Moderate; controls criticized as unresponsive</x:v>
      </x:c>
      <x:c r="AE137" s="9" t="str">
        <x:v>Per-character ending stills</x:v>
      </x:c>
      <x:c r="AF137" s="9" t="str">
        <x:v>Nine playable Sailor Soldiers (no Saturn); Famitsu reported ~19,075 lifetime sales. Retro Gamer counts it among the 3DO's stronger 2D fighters.</x:v>
      </x:c>
      <x:c r="AG137" s="9" t="str">
        <x:v>JP only (March 17 1995)</x:v>
      </x:c>
      <x:c r="AH137" s="9" t="str">
        <x:v>No</x:v>
      </x:c>
      <x:c r="AI137" s="9" t="str">
        <x:v>Easy</x:v>
      </x:c>
      <x:c r="AJ137" s="9"/>
      <x:c r="AK137" s="9" t="str">
        <x:v>Anime FMV limited to opening/intermission clips (unverified extent); fmv 2.</x:v>
      </x:c>
      <x:c r="AL137" s="10" t="n">
        <x:v>37.96</x:v>
      </x:c>
      <x:c r="AM137" s="10" t="n">
        <x:v>49</x:v>
      </x:c>
      <x:c r="AN137" s="10" t="n">
        <x:v>98</x:v>
      </x:c>
      <x:c r="AO137" s="9" t="str">
        <x:v>2026-10-20</x:v>
      </x:c>
      <x:c r="AP137" s="11" t="str">
        <x:f>HYPERLINK("https://www.pricecharting.com/search-products?q=Sailor+Moon+%28Pretty+Soldier+Sailor+Moon+S%2C+3DO%29+3do&amp;type=prices","PriceCharting")</x:f>
        <x:v>PriceCharting</x:v>
      </x:c>
      <x:c r="AQ137" s="9"/>
      <x:c r="AR137" s="9"/>
      <x:c r="AS137" s="9"/>
      <x:c r="AT137" s="9"/>
      <x:c r="AU137" s="9"/>
      <x:c r="AV137" s="9"/>
      <x:c r="AW137" s="9"/>
      <x:c r="AX137" s="9"/>
      <x:c r="AY137" s="9"/>
      <x:c r="AZ137" s="9"/>
      <x:c r="BA137" s="11" t="str">
        <x:f>HYPERLINK("https://www.mobygames.com/game/3do/bishoujo-senshi-sailor-moon-s","MobyGames")</x:f>
        <x:v>MobyGames</x:v>
      </x:c>
      <x:c r="BB137" s="9" t="str">
        <x:v>32%</x:v>
      </x:c>
      <x:c r="BC137" s="9" t="str">
        <x:v>average of 2 reviews on Wikipedia (NGen, Player One)</x:v>
      </x:c>
      <x:c r="BD137" s="9" t="str">
        <x:f>HYPERLINK("https://en.wikipedia.org/wiki/Pretty_Soldier_Sailor_Moon_S_%283DO_game%29","Source")</x:f>
        <x:v>Source</x:v>
      </x:c>
      <x:c r="BE137" s="11" t="str">
        <x:f>HYPERLINK("https://en.wikipedia.org/wiki/Pretty_Soldier_Sailor_Moon_S_(3DO_game)","Wikipedia")</x:f>
        <x:v>Wikipedia</x:v>
      </x:c>
      <x:c r="BF137" s="11" t="str">
        <x:f>HYPERLINK("https://backloggd.com/search/games/Sailor%20Moon%20%28Pretty%20Soldier%20Sailor%20Moon%20S%2C%203DO%29/","Backloggd")</x:f>
        <x:v>Backloggd</x:v>
      </x:c>
      <x:c r="BG137" s="9"/>
      <x:c r="BH137" s="9"/>
      <x:c r="BI137" s="12" t="str">
        <x:v>No</x:v>
      </x:c>
      <x:c r="BJ137" s="12" t="str"/>
      <x:c r="BK137" s="12" t="str">
        <x:v>No</x:v>
      </x:c>
      <x:c r="BL137" s="12" t="str"/>
      <x:c r="BM137" s="12" t="str"/>
      <x:c r="BN137" s="12" t="str"/>
      <x:c r="BO137" s="12" t="str"/>
      <x:c r="BP137" s="12" t="str"/>
      <x:c r="BQ137" s="12" t="str"/>
    </x:row>
    <x:row r="138">
      <x:c r="A138" s="9" t="str">
        <x:v>3do-70</x:v>
      </x:c>
      <x:c r="B138" s="9" t="str">
        <x:v>scramble-cobra</x:v>
      </x:c>
      <x:c r="C138" s="9" t="str">
        <x:v>3DO</x:v>
      </x:c>
      <x:c r="D138" s="9" t="str">
        <x:v>Scramble Cobra</x:v>
      </x:c>
      <x:c r="E138" s="9" t="str">
        <x:v>スクランブルコブラ</x:v>
      </x:c>
      <x:c r="F138" s="9" t="str">
        <x:v>Genki / Pack-In-Video</x:v>
      </x:c>
      <x:c r="G138" s="9" t="str">
        <x:v>Pack-In-Video (JP), Panasonic Software (NA/EU)</x:v>
      </x:c>
      <x:c r="H138" s="9" t="n">
        <x:v>1995</x:v>
      </x:c>
      <x:c r="I138" s="9" t="str">
        <x:v>Yes</x:v>
      </x:c>
      <x:c r="J138" s="9" t="str">
        <x:v>Yes</x:v>
      </x:c>
      <x:c r="K138" s="9" t="str">
        <x:v>Yes</x:v>
      </x:c>
      <x:c r="L138" s="9" t="str">
        <x:v>No</x:v>
      </x:c>
      <x:c r="M138" s="9" t="str">
        <x:v>Combat helicopter simulation</x:v>
      </x:c>
      <x:c r="N138" s="9" t="str">
        <x:v>Live-action</x:v>
      </x:c>
      <x:c r="O138" s="9" t="n">
        <x:v>2</x:v>
      </x:c>
      <x:c r="P138" s="9" t="str">
        <x:v>Cutscenes only</x:v>
      </x:c>
      <x:c r="Q138" s="9" t="str">
        <x:v>Released</x:v>
      </x:c>
      <x:c r="R138" s="9" t="str">
        <x:v>Original production</x:v>
      </x:c>
      <x:c r="S138" s="9" t="str">
        <x:v>3DO exclusive</x:v>
      </x:c>
      <x:c r="T138" s="9" t="str">
        <x:v>Unknown — verify (live-action briefing actors)</x:v>
      </x:c>
      <x:c r="U138" s="9" t="n">
        <x:v>1</x:v>
      </x:c>
      <x:c r="V138" s="9" t="str">
        <x:v>Unknown — verify</x:v>
      </x:c>
      <x:c r="W138" s="9" t="str">
        <x:v>Standard 3DO control pad; 3DO FlightStick support unverified</x:v>
      </x:c>
      <x:c r="X138" s="9" t="str">
        <x:v>Low</x:v>
      </x:c>
      <x:c r="Y138" s="9" t="str"/>
      <x:c r="Z138" s="9" t="str">
        <x:v>1.5–2.5 hr (10 missions, 8-min limits)</x:v>
      </x:c>
      <x:c r="AA138" s="9" t="str">
        <x:v>Genki's follow-up to Burning Soldier swaps streamed movies for a polygon AH-1 Cobra — and live-action briefings reviewers found dull.</x:v>
      </x:c>
      <x:c r="AB138" s="9" t="str">
        <x:v>None known</x:v>
      </x:c>
      <x:c r="AC138" s="9" t="str">
        <x:v>Live-action story/briefing clips in a window; gameplay is real-time polygon 3D from cockpit</x:v>
      </x:c>
      <x:c r="AD138" s="9" t="str">
        <x:v>Three difficulty settings; mission timers</x:v>
      </x:c>
      <x:c r="AE138" s="9" t="str">
        <x:v>Single ending</x:v>
      </x:c>
      <x:c r="AF138" s="9" t="str">
        <x:v>Fictional war of empire R invading K; sold under 9,000 copies in Japan. Next Generation: 'not bad enough to be painful'.</x:v>
      </x:c>
      <x:c r="AG138" s="9" t="str">
        <x:v>JP Aug 11 1995; NA Nov 15 1995; EU 1995</x:v>
      </x:c>
      <x:c r="AH138" s="9" t="str">
        <x:v>No</x:v>
      </x:c>
      <x:c r="AI138" s="9" t="str">
        <x:v>Easy</x:v>
      </x:c>
      <x:c r="AJ138" s="9"/>
      <x:c r="AK138" s="9" t="str">
        <x:v>MobyGames notes live-action video tells the story; gameplay is not FMV. fmv 2.</x:v>
      </x:c>
      <x:c r="AL138" s="10" t="n">
        <x:v>19.99</x:v>
      </x:c>
      <x:c r="AM138" s="10" t="n">
        <x:v>60.5</x:v>
      </x:c>
      <x:c r="AN138" s="10" t="n">
        <x:v>121</x:v>
      </x:c>
      <x:c r="AO138" s="9" t="str">
        <x:v>2026-10-20</x:v>
      </x:c>
      <x:c r="AP138" s="11" t="str">
        <x:f>HYPERLINK("https://www.pricecharting.com/search-products?q=Scramble+Cobra+3do&amp;type=prices","PriceCharting")</x:f>
        <x:v>PriceCharting</x:v>
      </x:c>
      <x:c r="AQ138" s="9"/>
      <x:c r="AR138" s="9"/>
      <x:c r="AS138" s="9"/>
      <x:c r="AT138" s="9"/>
      <x:c r="AU138" s="9"/>
      <x:c r="AV138" s="9"/>
      <x:c r="AW138" s="9"/>
      <x:c r="AX138" s="9"/>
      <x:c r="AY138" s="9" t="str">
        <x:v>60%</x:v>
      </x:c>
      <x:c r="AZ138" s="9" t="str">
        <x:v>3.6</x:v>
      </x:c>
      <x:c r="BA138" s="11" t="str">
        <x:f>HYPERLINK("https://www.mobygames.com/game/36901","MobyGames")</x:f>
        <x:v>MobyGames</x:v>
      </x:c>
      <x:c r="BB138" s="9"/>
      <x:c r="BC138" s="9"/>
      <x:c r="BD138" s="9"/>
      <x:c r="BE138" s="11" t="str">
        <x:f>HYPERLINK("https://en.wikipedia.org/wiki/Scramble_Cobra","Wikipedia")</x:f>
        <x:v>Wikipedia</x:v>
      </x:c>
      <x:c r="BF138" s="11" t="str">
        <x:f>HYPERLINK("https://backloggd.com/search/games/Scramble%20Cobra/","Backloggd")</x:f>
        <x:v>Backloggd</x:v>
      </x:c>
      <x:c r="BG138" s="9"/>
      <x:c r="BH138" s="9"/>
      <x:c r="BI138" s="12" t="str">
        <x:v>No</x:v>
      </x:c>
      <x:c r="BJ138" s="12" t="str"/>
      <x:c r="BK138" s="12" t="str">
        <x:v>No</x:v>
      </x:c>
      <x:c r="BL138" s="12" t="str"/>
      <x:c r="BM138" s="12" t="str"/>
      <x:c r="BN138" s="12" t="str"/>
      <x:c r="BO138" s="12" t="str"/>
      <x:c r="BP138" s="12" t="str"/>
      <x:c r="BQ138" s="12" t="str"/>
    </x:row>
    <x:row r="139">
      <x:c r="A139" s="9" t="str">
        <x:v>3do-71</x:v>
      </x:c>
      <x:c r="B139" s="9" t="str">
        <x:v>starblade</x:v>
      </x:c>
      <x:c r="C139" s="9" t="str">
        <x:v>3DO</x:v>
      </x:c>
      <x:c r="D139" s="9" t="str">
        <x:v>Starblade</x:v>
      </x:c>
      <x:c r="E139" s="9" t="str">
        <x:v>スターブレード</x:v>
      </x:c>
      <x:c r="F139" s="9" t="str">
        <x:v>Namco / HighTech Lab. Japan (3DO port)</x:v>
      </x:c>
      <x:c r="G139" s="9" t="str">
        <x:v>Panasonic (NA/EU), Namco (JP)</x:v>
      </x:c>
      <x:c r="H139" s="9" t="n">
        <x:v>1994</x:v>
      </x:c>
      <x:c r="I139" s="9" t="str">
        <x:v>Yes</x:v>
      </x:c>
      <x:c r="J139" s="9" t="str">
        <x:v>Yes</x:v>
      </x:c>
      <x:c r="K139" s="9" t="str">
        <x:v>Yes</x:v>
      </x:c>
      <x:c r="L139" s="9" t="str">
        <x:v>No</x:v>
      </x:c>
      <x:c r="M139" s="9" t="str">
        <x:v>Rail shooter</x:v>
      </x:c>
      <x:c r="N139" s="9" t="str">
        <x:v>Pre-rendered CG</x:v>
      </x:c>
      <x:c r="O139" s="9" t="n">
        <x:v>8</x:v>
      </x:c>
      <x:c r="P139" s="9" t="str">
        <x:v>Pre-rendered CG</x:v>
      </x:c>
      <x:c r="Q139" s="9" t="str">
        <x:v>Released</x:v>
      </x:c>
      <x:c r="R139" s="9" t="str">
        <x:v>Arcade original (Namco Starblade, 1991, polygon arcade game)</x:v>
      </x:c>
      <x:c r="S139" s="9" t="str">
        <x:v>Arcade, Sega CD, PlayStation (Starblade Alpha), Wii VC (JP), i-Mode, iOS/Android</x:v>
      </x:c>
      <x:c r="T139" s="9" t="str">
        <x:v>—</x:v>
      </x:c>
      <x:c r="U139" s="9" t="n">
        <x:v>1</x:v>
      </x:c>
      <x:c r="V139" s="9" t="str">
        <x:v>Unknown — verify (high score save)</x:v>
      </x:c>
      <x:c r="W139" s="9" t="str">
        <x:v>Standard 3DO control pad</x:v>
      </x:c>
      <x:c r="X139" s="9" t="str">
        <x:v>Low</x:v>
      </x:c>
      <x:c r="Y139" s="9" t="str"/>
      <x:c r="Z139" s="9" t="str">
        <x:v>20–30 min</x:v>
      </x:c>
      <x:c r="AA139" s="9" t="str">
        <x:v>Namco's polygon arcade classic rebuilt as streamed pre-rendered video on 3DO — with a switch between flat-shaded and textured looks.</x:v>
      </x:c>
      <x:c r="AB139" s="9" t="str">
        <x:v>Graphics mode toggle (flat vs textured); none else known</x:v>
      </x:c>
      <x:c r="AC139" s="9" t="str">
        <x:v>Full-screen pre-rendered backgrounds streamed as Cinepak video with real-time polygon enemies/cursor overlaid; compression artifacts blur the starfield; bosses time out on a fixed clock</x:v>
      </x:c>
      <x:c r="AD139" s="9" t="str">
        <x:v>Frustrating per GamePro: no power-ups, slow cursor</x:v>
      </x:c>
      <x:c r="AE139" s="9" t="str">
        <x:v>Single ending; very short</x:v>
      </x:c>
      <x:c r="AF139" s="9" t="str">
        <x:v>Because backgrounds are video, boss fights end at the same moment every time regardless of play (unlike the Sega CD port). Starblade Alpha on PS was criticized as nearly identical to the 3DO version.</x:v>
      </x:c>
      <x:c r="AG139" s="9" t="str">
        <x:v>NA Dec 15 1994 (Panasonic), JP Dec 16 1994 (Namco), EU 1994</x:v>
      </x:c>
      <x:c r="AH139" s="9" t="str">
        <x:v>Yes (arcade version via Namco Museum/Tekken 5 minigame; 3DO version itself: No)</x:v>
      </x:c>
      <x:c r="AI139" s="9" t="str">
        <x:v>Easy</x:v>
      </x:c>
      <x:c r="AJ139" s="9"/>
      <x:c r="AK139" s="9" t="str">
        <x:v>Pre-rendered streamed backgrounds with polygon overlays; fmv 8.</x:v>
      </x:c>
      <x:c r="AL139" s="10" t="n">
        <x:v>23.79</x:v>
      </x:c>
      <x:c r="AM139" s="10" t="n">
        <x:v>47.5</x:v>
      </x:c>
      <x:c r="AN139" s="10" t="n">
        <x:v>99.99</x:v>
      </x:c>
      <x:c r="AO139" s="9" t="str">
        <x:v>2026-10-20</x:v>
      </x:c>
      <x:c r="AP139" s="11" t="str">
        <x:f>HYPERLINK("https://www.pricecharting.com/search-products?q=Starblade+3do&amp;type=prices","PriceCharting")</x:f>
        <x:v>PriceCharting</x:v>
      </x:c>
      <x:c r="AQ139" s="9"/>
      <x:c r="AR139" s="9"/>
      <x:c r="AS139" s="9"/>
      <x:c r="AT139" s="9"/>
      <x:c r="AU139" s="9"/>
      <x:c r="AV139" s="9"/>
      <x:c r="AW139" s="9"/>
      <x:c r="AX139" s="9"/>
      <x:c r="AY139" s="9" t="str">
        <x:v>74%</x:v>
      </x:c>
      <x:c r="AZ139" s="9" t="str">
        <x:v>4.3</x:v>
      </x:c>
      <x:c r="BA139" s="11" t="str">
        <x:f>HYPERLINK("https://www.mobygames.com/game/starblade_","MobyGames")</x:f>
        <x:v>MobyGames</x:v>
      </x:c>
      <x:c r="BB139" s="9"/>
      <x:c r="BC139" s="9"/>
      <x:c r="BD139" s="9"/>
      <x:c r="BE139" s="11" t="str">
        <x:f>HYPERLINK("https://en.wikipedia.org/wiki/Starblade","Wikipedia")</x:f>
        <x:v>Wikipedia</x:v>
      </x:c>
      <x:c r="BF139" s="11" t="str">
        <x:f>HYPERLINK("https://backloggd.com/search/games/Starblade/","Backloggd")</x:f>
        <x:v>Backloggd</x:v>
      </x:c>
      <x:c r="BG139" s="9"/>
      <x:c r="BH139" s="9"/>
      <x:c r="BI139" s="12" t="str">
        <x:v>No</x:v>
      </x:c>
      <x:c r="BJ139" s="12" t="str"/>
      <x:c r="BK139" s="12" t="str">
        <x:v>No</x:v>
      </x:c>
      <x:c r="BL139" s="12" t="str"/>
      <x:c r="BM139" s="12" t="str"/>
      <x:c r="BN139" s="12" t="str"/>
      <x:c r="BO139" s="12" t="str"/>
      <x:c r="BP139" s="12" t="str"/>
      <x:c r="BQ139" s="12" t="str"/>
    </x:row>
    <x:row r="140">
      <x:c r="A140" s="9" t="str">
        <x:v>3do-72</x:v>
      </x:c>
      <x:c r="B140" s="9" t="str">
        <x:v>flashback</x:v>
      </x:c>
      <x:c r="C140" s="9" t="str">
        <x:v>3DO</x:v>
      </x:c>
      <x:c r="D140" s="9" t="str">
        <x:v>Flashback: The Quest for Identity</x:v>
      </x:c>
      <x:c r="E140" s="9" t="str">
        <x:v>Flashback (JP: フラッシュバック)</x:v>
      </x:c>
      <x:c r="F140" s="9" t="str">
        <x:v>Delphine Software (original); Tiertex (3DO port)</x:v>
      </x:c>
      <x:c r="G140" s="9" t="str">
        <x:v>U.S. Gold / Interplay (NA), Electronic Arts Victor (JP), U.S. Gold (EU)</x:v>
      </x:c>
      <x:c r="H140" s="9" t="n">
        <x:v>1995</x:v>
      </x:c>
      <x:c r="I140" s="9" t="str">
        <x:v>Yes</x:v>
      </x:c>
      <x:c r="J140" s="9" t="str">
        <x:v>Yes</x:v>
      </x:c>
      <x:c r="K140" s="9" t="str">
        <x:v>Yes</x:v>
      </x:c>
      <x:c r="L140" s="9" t="str">
        <x:v>No</x:v>
      </x:c>
      <x:c r="M140" s="9" t="str">
        <x:v>Cinematic platformer</x:v>
      </x:c>
      <x:c r="N140" s="9" t="str">
        <x:v>Pre-rendered CG</x:v>
      </x:c>
      <x:c r="O140" s="9" t="n">
        <x:v>2</x:v>
      </x:c>
      <x:c r="P140" s="9" t="str">
        <x:v>Cutscenes only</x:v>
      </x:c>
      <x:c r="Q140" s="9" t="str">
        <x:v>Released</x:v>
      </x:c>
      <x:c r="R140" s="9" t="str">
        <x:v>Amiga/PC original (Delphine, 1992)</x:v>
      </x:c>
      <x:c r="S140" s="9" t="str">
        <x:v>Amiga, DOS, SNES, Genesis, Sega CD, CD-i, Jaguar, Mac, and later remasters</x:v>
      </x:c>
      <x:c r="T140" s="9" t="str">
        <x:v>—</x:v>
      </x:c>
      <x:c r="U140" s="9" t="n">
        <x:v>1</x:v>
      </x:c>
      <x:c r="V140" s="9" t="str">
        <x:v>No (passwords)</x:v>
      </x:c>
      <x:c r="W140" s="9" t="str">
        <x:v>Standard 3DO control pad</x:v>
      </x:c>
      <x:c r="X140" s="9" t="str">
        <x:v>Low</x:v>
      </x:c>
      <x:c r="Y140" s="9" t="str"/>
      <x:c r="Z140" s="9" t="str">
        <x:v>3–5 hr (7 levels)</x:v>
      </x:c>
      <x:c r="AA140" s="9" t="str">
        <x:v>The CD-era Flashback: Delphine's rotoscoped classic with its cutscenes redone as pre-rendered CG movies with voice acting.</x:v>
      </x:c>
      <x:c r="AB140" s="9" t="str">
        <x:v>Level passwords per difficulty. GameFAQs lists them for the CD-i, Genesis and Sega CD versions but none specific to 3DO.</x:v>
      </x:c>
      <x:c r="AC140" s="9" t="str">
        <x:v>Windowed pre-rendered CG cutscenes with voice, ~15 fps; gameplay is 2D sprites</x:v>
      </x:c>
      <x:c r="AD140" s="9" t="str">
        <x:v>Hard; precise trial-and-error platforming</x:v>
      </x:c>
      <x:c r="AE140" s="9" t="str">
        <x:v>Single ending (Conrad escapes in suspended animation)</x:v>
      </x:c>
      <x:c r="AF140" s="9" t="str">
        <x:v>The 3DO port derives from the DOS CD-ROM re-release with re-rendered FMV cutscenes; Next Generation said the 3DO pad 'doesn't interfere (much)'.</x:v>
      </x:c>
      <x:c r="AG140" s="9" t="str">
        <x:v>JP Feb 17 1995 (EA Victor), NA Mar 24 1995, EU 1995</x:v>
      </x:c>
      <x:c r="AH140" s="9" t="str">
        <x:v>Yes (Flashback 25th Anniversary / remasters on Switch, PS4, Xbox, PC, GOG — not the 3DO build)</x:v>
      </x:c>
      <x:c r="AI140" s="9" t="str">
        <x:v>Easy</x:v>
      </x:c>
      <x:c r="AJ140" s="9"/>
      <x:c r="AK140" s="9" t="str">
        <x:v>FMV limited to rendered cutscenes; fmv 2.</x:v>
      </x:c>
      <x:c r="AL140" s="10" t="n">
        <x:v>17.44</x:v>
      </x:c>
      <x:c r="AM140" s="10" t="n">
        <x:v>37.21</x:v>
      </x:c>
      <x:c r="AN140" s="10" t="n">
        <x:v>103.03</x:v>
      </x:c>
      <x:c r="AO140" s="9" t="str">
        <x:v>2026-10-20</x:v>
      </x:c>
      <x:c r="AP140" s="11" t="str">
        <x:f>HYPERLINK("https://www.pricecharting.com/search-products?q=Flashback%3A+The+Quest+for+Identity+3do&amp;type=prices","PriceCharting")</x:f>
        <x:v>PriceCharting</x:v>
      </x:c>
      <x:c r="AQ140" s="9"/>
      <x:c r="AR140" s="9"/>
      <x:c r="AS140" s="9"/>
      <x:c r="AT140" s="9"/>
      <x:c r="AU140" s="9"/>
      <x:c r="AV140" s="9"/>
      <x:c r="AW140" s="9"/>
      <x:c r="AX140" s="9"/>
      <x:c r="AY140" s="9" t="str">
        <x:v>83%</x:v>
      </x:c>
      <x:c r="AZ140" s="9" t="str">
        <x:v>4.1</x:v>
      </x:c>
      <x:c r="BA140" s="11" t="str">
        <x:f>HYPERLINK("https://www.mobygames.com/game/3do/flashback-the-quest-for-identity","MobyGames")</x:f>
        <x:v>MobyGames</x:v>
      </x:c>
      <x:c r="BB140" s="9"/>
      <x:c r="BC140" s="9"/>
      <x:c r="BD140" s="9"/>
      <x:c r="BE140" s="11" t="str">
        <x:f>HYPERLINK("https://en.wikipedia.org/wiki/Flashback_(1992_video_game)","Wikipedia")</x:f>
        <x:v>Wikipedia</x:v>
      </x:c>
      <x:c r="BF140" s="11" t="str">
        <x:f>HYPERLINK("https://backloggd.com/search/games/Flashback%3A%20The%20Quest%20for%20Identity/","Backloggd")</x:f>
        <x:v>Backloggd</x:v>
      </x:c>
      <x:c r="BG140" s="9"/>
      <x:c r="BH140" s="9"/>
      <x:c r="BI140" s="12" t="str">
        <x:v>No</x:v>
      </x:c>
      <x:c r="BJ140" s="12" t="str"/>
      <x:c r="BK140" s="12" t="str">
        <x:v>No</x:v>
      </x:c>
      <x:c r="BL140" s="12" t="str"/>
      <x:c r="BM140" s="12" t="str"/>
      <x:c r="BN140" s="12" t="str"/>
      <x:c r="BO140" s="12" t="str"/>
      <x:c r="BP140" s="12" t="str"/>
      <x:c r="BQ140" s="12" t="str"/>
    </x:row>
    <x:row r="141">
      <x:c r="A141" s="9" t="str">
        <x:v>3do-73</x:v>
      </x:c>
      <x:c r="B141" s="9" t="str">
        <x:v>lost-files-of-sherlock-holmes-the-case-of-the-serrated-scalpel</x:v>
      </x:c>
      <x:c r="C141" s="9" t="str">
        <x:v>3DO</x:v>
      </x:c>
      <x:c r="D141" s="9" t="str">
        <x:v>Lost Files of Sherlock Holmes: The Case of the Serrated Scalpel</x:v>
      </x:c>
      <x:c r="E141" s="9" t="str">
        <x:v>The Lost Files of Sherlock Holmes</x:v>
      </x:c>
      <x:c r="F141" s="9" t="str">
        <x:v>Mythos Software</x:v>
      </x:c>
      <x:c r="G141" s="9" t="str">
        <x:v>Electronic Arts (NA/EU)</x:v>
      </x:c>
      <x:c r="H141" s="9" t="n">
        <x:v>1994</x:v>
      </x:c>
      <x:c r="I141" s="9" t="str">
        <x:v>Yes</x:v>
      </x:c>
      <x:c r="J141" s="9" t="str">
        <x:v>No</x:v>
      </x:c>
      <x:c r="K141" s="9" t="str">
        <x:v>Yes</x:v>
      </x:c>
      <x:c r="L141" s="9" t="str">
        <x:v>No</x:v>
      </x:c>
      <x:c r="M141" s="9" t="str">
        <x:v>Point-and-click adventure</x:v>
      </x:c>
      <x:c r="N141" s="9" t="str">
        <x:v>Live-action</x:v>
      </x:c>
      <x:c r="O141" s="9" t="n">
        <x:v>4</x:v>
      </x:c>
      <x:c r="P141" s="9" t="str">
        <x:v>FMV adventure</x:v>
      </x:c>
      <x:c r="Q141" s="9" t="str">
        <x:v>Released</x:v>
      </x:c>
      <x:c r="R141" s="9" t="str">
        <x:v>PC original (Mythos/EA, DOS 1992)</x:v>
      </x:c>
      <x:c r="S141" s="9" t="str">
        <x:v>DOS (floppy and CD), later Windows via ScummVM</x:v>
      </x:c>
      <x:c r="T141" s="9" t="str">
        <x:v>David Ian Davies (Holmes), Laurie Main (Watson) — filmed clips and voices</x:v>
      </x:c>
      <x:c r="U141" s="9" t="n">
        <x:v>1</x:v>
      </x:c>
      <x:c r="V141" s="9" t="str">
        <x:v>Yes</x:v>
      </x:c>
      <x:c r="W141" s="9" t="str">
        <x:v>Standard 3DO control pad (3DO Mouse support unverified)</x:v>
      </x:c>
      <x:c r="X141" s="9" t="str">
        <x:v>Low</x:v>
      </x:c>
      <x:c r="Y141" s="9" t="str"/>
      <x:c r="Z141" s="9" t="str">
        <x:v>6–10 hr</x:v>
      </x:c>
      <x:c r="AA141" s="9" t="str">
        <x:v>The full-talkie Holmes: every painted portrait replaced with a live-action actor in a window, making a 1992 PC adventure feel like a 3DO interactive movie.</x:v>
      </x:c>
      <x:c r="AB141" s="9" t="str">
        <x:v>None known</x:v>
      </x:c>
      <x:c r="AC141" s="9" t="str">
        <x:v>Small windowed live-action talking-head clips during all dialogue, ~10–15 fps; backgrounds remain 2D art</x:v>
      </x:c>
      <x:c r="AD141" s="9" t="str">
        <x:v>Moderate; large inventory and many locations</x:v>
      </x:c>
      <x:c r="AE141" s="9" t="str">
        <x:v>Single ending (Holmes solves the Serrated Scalpel murders)</x:v>
      </x:c>
      <x:c r="AF141" s="9" t="str">
        <x:v>The DOS version used speech only in the intro, St Pancras and ending scenes; the 3DO version voices everything and removes Watson's journal.</x:v>
      </x:c>
      <x:c r="AG141" s="9" t="str">
        <x:v>NA June 1 1994 (EA long-box), EU 1994</x:v>
      </x:c>
      <x:c r="AH141" s="9" t="str">
        <x:v>Yes (DOS version on GOG; ScummVM)</x:v>
      </x:c>
      <x:c r="AI141" s="9" t="str">
        <x:v>Easy</x:v>
      </x:c>
      <x:c r="AJ141" s="9"/>
      <x:c r="AK141" s="9" t="str">
        <x:v>Dialogue-driven game where live-action clips run throughout; fmv 4. MobyGames scores shown are the multi-platform entry totals.</x:v>
      </x:c>
      <x:c r="AL141" s="10" t="n">
        <x:v>35.53</x:v>
      </x:c>
      <x:c r="AM141" s="10" t="n">
        <x:v>60.54</x:v>
      </x:c>
      <x:c r="AN141" s="10" t="n">
        <x:v>121</x:v>
      </x:c>
      <x:c r="AO141" s="9" t="str">
        <x:v>2026-10-20</x:v>
      </x:c>
      <x:c r="AP141" s="11" t="str">
        <x:f>HYPERLINK("https://www.pricecharting.com/search-products?q=Lost+Files+of+Sherlock+Holmes%3A+The+Case+of+the+Serrated+Scalpel+3do&amp;type=prices","PriceCharting")</x:f>
        <x:v>PriceCharting</x:v>
      </x:c>
      <x:c r="AQ141" s="9"/>
      <x:c r="AR141" s="9"/>
      <x:c r="AS141" s="9"/>
      <x:c r="AT141" s="9"/>
      <x:c r="AU141" s="9"/>
      <x:c r="AV141" s="9"/>
      <x:c r="AW141" s="9"/>
      <x:c r="AX141" s="9"/>
      <x:c r="AY141" s="9" t="str">
        <x:v>78%</x:v>
      </x:c>
      <x:c r="AZ141" s="9" t="str">
        <x:v>3.9</x:v>
      </x:c>
      <x:c r="BA141" s="11" t="str">
        <x:f>HYPERLINK("https://www.mobygames.com/game/3441/the-lost-files-of-sherlock-holmes","MobyGames")</x:f>
        <x:v>MobyGames</x:v>
      </x:c>
      <x:c r="BB141" s="9"/>
      <x:c r="BC141" s="9"/>
      <x:c r="BD141" s="9"/>
      <x:c r="BE141" s="11" t="str">
        <x:f>HYPERLINK("https://en.wikipedia.org/wiki/The_Lost_Files_of_Sherlock_Holmes","Wikipedia")</x:f>
        <x:v>Wikipedia</x:v>
      </x:c>
      <x:c r="BF141" s="11" t="str">
        <x:f>HYPERLINK("https://backloggd.com/search/games/Lost%20Files%20of%20Sherlock%20Holmes%3A%20The%20Case%20of%20the%20Serrated%20Scalpel/","Backloggd")</x:f>
        <x:v>Backloggd</x:v>
      </x:c>
      <x:c r="BG141" s="9"/>
      <x:c r="BH141" s="9"/>
      <x:c r="BI141" s="12" t="str">
        <x:v>No</x:v>
      </x:c>
      <x:c r="BJ141" s="12" t="str"/>
      <x:c r="BK141" s="12" t="str">
        <x:v>No</x:v>
      </x:c>
      <x:c r="BL141" s="12" t="str"/>
      <x:c r="BM141" s="12" t="str"/>
      <x:c r="BN141" s="12" t="str"/>
      <x:c r="BO141" s="12" t="str"/>
      <x:c r="BP141" s="12" t="str"/>
      <x:c r="BQ141" s="12" t="str"/>
    </x:row>
    <x:row r="142">
      <x:c r="A142" s="9" t="str">
        <x:v>3do-74</x:v>
      </x:c>
      <x:c r="B142" s="9" t="str">
        <x:v>blue-forest-story</x:v>
      </x:c>
      <x:c r="C142" s="9" t="str">
        <x:v>3DO</x:v>
      </x:c>
      <x:c r="D142" s="9" t="str">
        <x:v>Blue Forest Story</x:v>
      </x:c>
      <x:c r="E142" s="9" t="str">
        <x:v>Blue Forest Story: Kaze no Fūin / ブルーフォレスト物語 風の封印</x:v>
      </x:c>
      <x:c r="F142" s="9" t="str">
        <x:v>Right Stuff</x:v>
      </x:c>
      <x:c r="G142" s="9" t="str">
        <x:v>Panasonic (JP, 3DO); Right Stuff (PS)</x:v>
      </x:c>
      <x:c r="H142" s="9" t="n">
        <x:v>1996</x:v>
      </x:c>
      <x:c r="I142" s="9" t="str">
        <x:v>No</x:v>
      </x:c>
      <x:c r="J142" s="9" t="str">
        <x:v>Yes</x:v>
      </x:c>
      <x:c r="K142" s="9" t="str">
        <x:v>No</x:v>
      </x:c>
      <x:c r="L142" s="9" t="str">
        <x:v>No</x:v>
      </x:c>
      <x:c r="M142" s="9" t="str">
        <x:v>JRPG</x:v>
      </x:c>
      <x:c r="N142" s="9" t="str">
        <x:v>Pre-rendered CG</x:v>
      </x:c>
      <x:c r="O142" s="9" t="n">
        <x:v>1</x:v>
      </x:c>
      <x:c r="P142" s="9" t="str">
        <x:v>Cutscenes only</x:v>
      </x:c>
      <x:c r="Q142" s="9" t="str">
        <x:v>Released</x:v>
      </x:c>
      <x:c r="R142" s="9" t="str">
        <x:v>Original production</x:v>
      </x:c>
      <x:c r="S142" s="9" t="str">
        <x:v>PlayStation (1996, SLPS-00566, altered opening)</x:v>
      </x:c>
      <x:c r="T142" s="9" t="str">
        <x:v>—</x:v>
      </x:c>
      <x:c r="U142" s="9" t="n">
        <x:v>1</x:v>
      </x:c>
      <x:c r="V142" s="9" t="str">
        <x:v>Yes</x:v>
      </x:c>
      <x:c r="W142" s="9" t="str">
        <x:v>Standard 3DO control pad</x:v>
      </x:c>
      <x:c r="X142" s="9" t="str">
        <x:v>Low</x:v>
      </x:c>
      <x:c r="Y142" s="9" t="str"/>
      <x:c r="Z142" s="9" t="str">
        <x:v>7–10 hr</x:v>
      </x:c>
      <x:c r="AA142" s="9" t="str">
        <x:v>A late Japan-only 3DO RPG with a CGI opening, HP-costing spells and a notorious hot-spring scene.</x:v>
      </x:c>
      <x:c r="AB142" s="9" t="str">
        <x:v>None known</x:v>
      </x:c>
      <x:c r="AC142" s="9" t="str">
        <x:v>CGI opening movie only; gameplay is 2D sprites with no voice acting</x:v>
      </x:c>
      <x:c r="AD142" s="9" t="str">
        <x:v>Easy; frequent random encounters</x:v>
      </x:c>
      <x:c r="AE142" s="9" t="str">
        <x:v>Two protagonists (Wallace/Valerus and Rakjit); choices affect character views between chapters</x:v>
      </x:c>
      <x:c r="AF142" s="9" t="str">
        <x:v>Released April 26 1996 by Panasonic, among the last JP 3DO titles; soundtrack by Psy-fa the Field's Mechanique Valley.</x:v>
      </x:c>
      <x:c r="AG142" s="9" t="str">
        <x:v>3DO JP (Panasonic); PS JP (Right Stuff) with changed opening</x:v>
      </x:c>
      <x:c r="AH142" s="9" t="str">
        <x:v>No</x:v>
      </x:c>
      <x:c r="AI142" s="9" t="str">
        <x:v>Easy</x:v>
      </x:c>
      <x:c r="AJ142" s="9"/>
      <x:c r="AK142" s="9" t="str">
        <x:v>Streamed video is the opening movie only; fmv 1. Not listed on PriceCharting.</x:v>
      </x:c>
      <x:c r="AL142" s="10"/>
      <x:c r="AM142" s="10"/>
      <x:c r="AN142" s="10"/>
      <x:c r="AO142" s="9"/>
      <x:c r="AP142" s="11" t="str">
        <x:f>HYPERLINK("https://www.pricecharting.com/search-products?q=Blue+Forest+Story+3do&amp;type=prices","PriceCharting")</x:f>
        <x:v>PriceCharting</x:v>
      </x:c>
      <x:c r="AQ142" s="9"/>
      <x:c r="AR142" s="9"/>
      <x:c r="AS142" s="9"/>
      <x:c r="AT142" s="9"/>
      <x:c r="AU142" s="9"/>
      <x:c r="AV142" s="9"/>
      <x:c r="AW142" s="9"/>
      <x:c r="AX142" s="9"/>
      <x:c r="AY142" s="9"/>
      <x:c r="AZ142" s="9"/>
      <x:c r="BA142" s="11" t="str">
        <x:f>HYPERLINK("https://mobygames.com/game/3do/blue-forest-story-kaze-no-fin","MobyGames")</x:f>
        <x:v>MobyGames</x:v>
      </x:c>
      <x:c r="BB142" s="9"/>
      <x:c r="BC142" s="9"/>
      <x:c r="BD142" s="9"/>
      <x:c r="BE142" s="9"/>
      <x:c r="BF142" s="11" t="str">
        <x:f>HYPERLINK("https://backloggd.com/search/games/Blue%20Forest%20Story/","Backloggd")</x:f>
        <x:v>Backloggd</x:v>
      </x:c>
      <x:c r="BG142" s="9"/>
      <x:c r="BH142" s="9"/>
      <x:c r="BI142" s="12" t="str">
        <x:v>No</x:v>
      </x:c>
      <x:c r="BJ142" s="12" t="str"/>
      <x:c r="BK142" s="12" t="str">
        <x:v>No</x:v>
      </x:c>
      <x:c r="BL142" s="12" t="str"/>
      <x:c r="BM142" s="12" t="str"/>
      <x:c r="BN142" s="12" t="str"/>
      <x:c r="BO142" s="12" t="str"/>
      <x:c r="BP142" s="12" t="str"/>
      <x:c r="BQ142" s="12" t="str"/>
    </x:row>
    <x:row r="143">
      <x:c r="A143" s="9" t="str">
        <x:v>3do-75</x:v>
      </x:c>
      <x:c r="B143" s="9" t="str">
        <x:v>sotsugyou-final</x:v>
      </x:c>
      <x:c r="C143" s="9" t="str">
        <x:v>3DO</x:v>
      </x:c>
      <x:c r="D143" s="9" t="str">
        <x:v>Sotsugyou Final</x:v>
      </x:c>
      <x:c r="E143" s="9" t="str">
        <x:v>卒業FINAL / Sotsugyō: Graduation Final</x:v>
      </x:c>
      <x:c r="F143" s="9" t="str">
        <x:v>Headroom / Fupac</x:v>
      </x:c>
      <x:c r="G143" s="9" t="str">
        <x:v>Shar Rock (JP); HOKUBU Communication also credited</x:v>
      </x:c>
      <x:c r="H143" s="9" t="n">
        <x:v>1994</x:v>
      </x:c>
      <x:c r="I143" s="9" t="str">
        <x:v>No</x:v>
      </x:c>
      <x:c r="J143" s="9" t="str">
        <x:v>Yes</x:v>
      </x:c>
      <x:c r="K143" s="9" t="str">
        <x:v>No</x:v>
      </x:c>
      <x:c r="L143" s="9" t="str">
        <x:v>No</x:v>
      </x:c>
      <x:c r="M143" s="9" t="str">
        <x:v>Raising / teacher simulation</x:v>
      </x:c>
      <x:c r="N143" s="9" t="str">
        <x:v>Animated</x:v>
      </x:c>
      <x:c r="O143" s="9" t="n">
        <x:v>2</x:v>
      </x:c>
      <x:c r="P143" s="9" t="str">
        <x:v>Cutscenes only</x:v>
      </x:c>
      <x:c r="Q143" s="9" t="str">
        <x:v>Released</x:v>
      </x:c>
      <x:c r="R143" s="9" t="str">
        <x:v>PC-98 original (Sotsugyou: Graduation, 1992)</x:v>
      </x:c>
      <x:c r="S143" s="9" t="str">
        <x:v>PC-98, FM Towns, X68000, Mac, PC Engine CD, Saturn, PlayStation (Graduation R), WonderSwan (other editions)</x:v>
      </x:c>
      <x:c r="T143" s="9" t="str">
        <x:v>Unknown — verify (anime seiyuu for the five students)</x:v>
      </x:c>
      <x:c r="U143" s="9" t="n">
        <x:v>1</x:v>
      </x:c>
      <x:c r="V143" s="9" t="str">
        <x:v>Yes</x:v>
      </x:c>
      <x:c r="W143" s="9" t="str">
        <x:v>Standard 3DO control pad</x:v>
      </x:c>
      <x:c r="X143" s="9" t="str">
        <x:v>Low–Med</x:v>
      </x:c>
      <x:c r="Y143" s="9" t="str">
        <x:v>Vocal theme songs from the Graduation OVA/anime</x:v>
      </x:c>
      <x:c r="Z143" s="9" t="str">
        <x:v>4–6 hr per playthrough</x:v>
      </x:c>
      <x:c r="AA143" s="9" t="str">
        <x:v>The 3DO 'Final' cut of the original girl-raising sim — teach five students to graduation, dressed up with anime movies and voices.</x:v>
      </x:c>
      <x:c r="AB143" s="9" t="str">
        <x:v>None known</x:v>
      </x:c>
      <x:c r="AC143" s="9" t="str">
        <x:v>Anime-style opening/event movies in a window, ~15 fps (extent unverified)</x:v>
      </x:c>
      <x:c r="AD143" s="9" t="str">
        <x:v>Stat-management; easy to fail individual students</x:v>
      </x:c>
      <x:c r="AE143" s="9" t="str">
        <x:v>Multiple graduation endings depending on each student's development</x:v>
      </x:c>
      <x:c r="AF143" s="9" t="str">
        <x:v>Released Dec 9 1994 (Shar Rock); the 3DO also got Sotsugyou II: Neo Generation Special in 1995. The franchise spawned a 1995 OVA.</x:v>
      </x:c>
      <x:c r="AG143" s="9" t="str">
        <x:v>JP only; demo disc also circulated</x:v>
      </x:c>
      <x:c r="AH143" s="9" t="str">
        <x:v>No</x:v>
      </x:c>
      <x:c r="AI143" s="9" t="str">
        <x:v>Easy</x:v>
      </x:c>
      <x:c r="AJ143" s="9"/>
      <x:c r="AK143" s="9" t="str">
        <x:v>Anime FMV presence inferred from the 'Final' edition's enhanced presentation — verify extent; fmv 2 estimate. Not listed on PriceCharting.</x:v>
      </x:c>
      <x:c r="AL143" s="10" t="n">
        <x:v>8</x:v>
      </x:c>
      <x:c r="AM143" s="10" t="n">
        <x:v>17.6</x:v>
      </x:c>
      <x:c r="AN143" s="10" t="n">
        <x:v>36</x:v>
      </x:c>
      <x:c r="AO143" s="9" t="str">
        <x:v>2026-10-25</x:v>
      </x:c>
      <x:c r="AP143" s="11" t="str">
        <x:f>HYPERLINK("https://www.pricecharting.com/game/jp-3do/sotsugyou-graduation-final","PriceCharting")</x:f>
        <x:v>PriceCharting</x:v>
      </x:c>
      <x:c r="AQ143" s="9"/>
      <x:c r="AR143" s="9"/>
      <x:c r="AS143" s="9"/>
      <x:c r="AT143" s="9"/>
      <x:c r="AU143" s="9"/>
      <x:c r="AV143" s="9"/>
      <x:c r="AW143" s="9"/>
      <x:c r="AX143" s="9"/>
      <x:c r="AY143" s="9"/>
      <x:c r="AZ143" s="9"/>
      <x:c r="BA143" s="11" t="str">
        <x:f>HYPERLINK("https://www.mobygames.com/search/?q=Sotsugyou+Final","MobyGames")</x:f>
        <x:v>MobyGames</x:v>
      </x:c>
      <x:c r="BB143" s="9"/>
      <x:c r="BC143" s="9"/>
      <x:c r="BD143" s="9"/>
      <x:c r="BE143" s="9"/>
      <x:c r="BF143" s="11" t="str">
        <x:f>HYPERLINK("https://backloggd.com/search/games/Sotsugyou%20Final/","Backloggd")</x:f>
        <x:v>Backloggd</x:v>
      </x:c>
      <x:c r="BG143" s="9"/>
      <x:c r="BH143" s="9"/>
      <x:c r="BI143" s="12" t="str">
        <x:v>No</x:v>
      </x:c>
      <x:c r="BJ143" s="12" t="str"/>
      <x:c r="BK143" s="12" t="str">
        <x:v>No</x:v>
      </x:c>
      <x:c r="BL143" s="12" t="str"/>
      <x:c r="BM143" s="12" t="str"/>
      <x:c r="BN143" s="12" t="str"/>
      <x:c r="BO143" s="12" t="str"/>
      <x:c r="BP143" s="12" t="str"/>
      <x:c r="BQ143" s="12" t="str"/>
    </x:row>
    <x:row r="144">
      <x:c r="A144" s="9" t="str">
        <x:v>3do-76</x:v>
      </x:c>
      <x:c r="B144" s="9" t="str">
        <x:v>yu-yu-hakusho</x:v>
      </x:c>
      <x:c r="C144" s="9" t="str">
        <x:v>3DO</x:v>
      </x:c>
      <x:c r="D144" s="9" t="str">
        <x:v>Yu Yu Hakusho (3DO)</x:v>
      </x:c>
      <x:c r="E144" s="9" t="str">
        <x:v>Yuu Yuu Hakusho (JP)</x:v>
      </x:c>
      <x:c r="F144" s="9" t="str">
        <x:v>Hudson Soft / Tose (with Studio Pierrot)</x:v>
      </x:c>
      <x:c r="G144" s="9" t="str">
        <x:v>Tomy (JP)</x:v>
      </x:c>
      <x:c r="H144" s="9" t="n">
        <x:v>1994</x:v>
      </x:c>
      <x:c r="I144" s="9" t="str">
        <x:v>No</x:v>
      </x:c>
      <x:c r="J144" s="9" t="str">
        <x:v>Yes</x:v>
      </x:c>
      <x:c r="K144" s="9" t="str">
        <x:v>No</x:v>
      </x:c>
      <x:c r="L144" s="9" t="str">
        <x:v>No</x:v>
      </x:c>
      <x:c r="M144" s="9" t="str">
        <x:v>2D fighting</x:v>
      </x:c>
      <x:c r="N144" s="9" t="str">
        <x:v>Animated</x:v>
      </x:c>
      <x:c r="O144" s="9" t="n">
        <x:v>3</x:v>
      </x:c>
      <x:c r="P144" s="9" t="str">
        <x:v>Cutscenes only</x:v>
      </x:c>
      <x:c r="Q144" s="9" t="str">
        <x:v>Released</x:v>
      </x:c>
      <x:c r="R144" s="9" t="str">
        <x:v>Anime/manga license (Yu Yu Hakusho)</x:v>
      </x:c>
      <x:c r="S144" s="9" t="str">
        <x:v>3DO exclusive (other YYH fighters on SNES/Genesis are different games)</x:v>
      </x:c>
      <x:c r="T144" s="9" t="str">
        <x:v>Anime seiyuu (verify); narrator between fights</x:v>
      </x:c>
      <x:c r="U144" s="9" t="n">
        <x:v>1</x:v>
      </x:c>
      <x:c r="V144" s="9" t="str">
        <x:v>Unknown — verify</x:v>
      </x:c>
      <x:c r="W144" s="9" t="str">
        <x:v>Standard 3DO control pad; 2 players, 5-on-5 team battle</x:v>
      </x:c>
      <x:c r="X144" s="9" t="str">
        <x:v>HIGH</x:v>
      </x:c>
      <x:c r="Y144" s="9" t="str">
        <x:v>Actual Studio Pierrot anime episode clips and series music between fights</x:v>
      </x:c>
      <x:c r="Z144" s="9" t="str">
        <x:v>1 hr (Scenario Mode)</x:v>
      </x:c>
      <x:c r="AA144" s="9" t="str">
        <x:v>A fighter built from digitized anime cels, with real episode clips stitched between bouts — Next Generation said 'avoid at all costs'.</x:v>
      </x:c>
      <x:c r="AB144" s="9" t="str">
        <x:v>None known</x:v>
      </x:c>
      <x:c r="AC144" s="9" t="str">
        <x:v>Windowed anime clips from the TV series, ~15 fps; in-game sprites are digitized cels</x:v>
      </x:c>
      <x:c r="AD144" s="9" t="str">
        <x:v>Low-to-moderate; only weak/strong attacks, slow projectiles</x:v>
      </x:c>
      <x:c r="AE144" s="9" t="str">
        <x:v>Scenario Mode follows the Dark Tournament then Sensui arc to one ending</x:v>
      </x:c>
      <x:c r="AF144" s="9" t="str">
        <x:v>15 characters; Hardcore Gaming 101 called it 'an interesting failure'. Released Dec 23 1994.</x:v>
      </x:c>
      <x:c r="AG144" s="9" t="str">
        <x:v>JP only</x:v>
      </x:c>
      <x:c r="AH144" s="9" t="str">
        <x:v>No</x:v>
      </x:c>
      <x:c r="AI144" s="9" t="str">
        <x:v>Easy</x:v>
      </x:c>
      <x:c r="AJ144" s="9"/>
      <x:c r="AK144" s="9" t="str">
        <x:v>Anime FMV between every story fight — a meaningful share of Scenario Mode; fmv 3.</x:v>
      </x:c>
      <x:c r="AL144" s="10" t="n">
        <x:v>12.5</x:v>
      </x:c>
      <x:c r="AM144" s="10" t="n">
        <x:v>27.5</x:v>
      </x:c>
      <x:c r="AN144" s="10" t="n">
        <x:v>56.25</x:v>
      </x:c>
      <x:c r="AO144" s="9" t="str">
        <x:v>2026-10-20</x:v>
      </x:c>
      <x:c r="AP144" s="11" t="str">
        <x:f>HYPERLINK("https://www.pricecharting.com/game/jp-3do/yu-yu-hakusho","PriceCharting")</x:f>
        <x:v>PriceCharting</x:v>
      </x:c>
      <x:c r="AQ144" s="9"/>
      <x:c r="AR144" s="9"/>
      <x:c r="AS144" s="9"/>
      <x:c r="AT144" s="9"/>
      <x:c r="AU144" s="9"/>
      <x:c r="AV144" s="9"/>
      <x:c r="AW144" s="9"/>
      <x:c r="AX144" s="9"/>
      <x:c r="AY144" s="9" t="str">
        <x:v>65%</x:v>
      </x:c>
      <x:c r="AZ144" s="9"/>
      <x:c r="BA144" s="11" t="str">
        <x:f>HYPERLINK("https://www.mobygames.com/game/3do/yu-yu-hakusho","MobyGames")</x:f>
        <x:v>MobyGames</x:v>
      </x:c>
      <x:c r="BB144" s="9"/>
      <x:c r="BC144" s="9"/>
      <x:c r="BD144" s="9"/>
      <x:c r="BE144" s="11" t="str">
        <x:f>HYPERLINK("https://en.wikipedia.org/wiki/Y%C5%AB_Y%C5%AB_Hakusho_(1994_video_game)","Wikipedia")</x:f>
        <x:v>Wikipedia</x:v>
      </x:c>
      <x:c r="BF144" s="11" t="str">
        <x:f>HYPERLINK("https://backloggd.com/search/games/Yu%20Yu%20Hakusho%20%283DO%29/","Backloggd")</x:f>
        <x:v>Backloggd</x:v>
      </x:c>
      <x:c r="BG144" s="9"/>
      <x:c r="BH144" s="9"/>
      <x:c r="BI144" s="12" t="str">
        <x:v>No</x:v>
      </x:c>
      <x:c r="BJ144" s="12" t="str"/>
      <x:c r="BK144" s="12" t="str">
        <x:v>No</x:v>
      </x:c>
      <x:c r="BL144" s="12" t="str"/>
      <x:c r="BM144" s="12" t="str"/>
      <x:c r="BN144" s="12" t="str"/>
      <x:c r="BO144" s="12" t="str"/>
      <x:c r="BP144" s="12" t="str"/>
      <x:c r="BQ144" s="12" t="str"/>
    </x:row>
    <x:row r="145">
      <x:c r="A145" s="9" t="str">
        <x:v>3do-77</x:v>
      </x:c>
      <x:c r="B145" s="9" t="str">
        <x:v>policenauts</x:v>
      </x:c>
      <x:c r="C145" s="9" t="str">
        <x:v>3DO</x:v>
      </x:c>
      <x:c r="D145" s="9" t="str">
        <x:v>Policenauts</x:v>
      </x:c>
      <x:c r="E145" s="9" t="str">
        <x:v>ポリスノーツ</x:v>
      </x:c>
      <x:c r="F145" s="9" t="str">
        <x:v>Konami (Hideo Kojima)</x:v>
      </x:c>
      <x:c r="G145" s="9" t="str">
        <x:v>Konami (JP)</x:v>
      </x:c>
      <x:c r="H145" s="9" t="n">
        <x:v>1995</x:v>
      </x:c>
      <x:c r="I145" s="9" t="str">
        <x:v>No</x:v>
      </x:c>
      <x:c r="J145" s="9" t="str">
        <x:v>Yes</x:v>
      </x:c>
      <x:c r="K145" s="9" t="str">
        <x:v>No</x:v>
      </x:c>
      <x:c r="L145" s="9" t="str">
        <x:v>No</x:v>
      </x:c>
      <x:c r="M145" s="9" t="str">
        <x:v>Point-and-click adventure / visual novel with light-gun segments</x:v>
      </x:c>
      <x:c r="N145" s="9" t="str">
        <x:v>Animated</x:v>
      </x:c>
      <x:c r="O145" s="9" t="n">
        <x:v>4</x:v>
      </x:c>
      <x:c r="P145" s="9" t="str">
        <x:v>FMV adventure</x:v>
      </x:c>
      <x:c r="Q145" s="9" t="str">
        <x:v>Released</x:v>
      </x:c>
      <x:c r="R145" s="9" t="str">
        <x:v>PC-9821 original (Konami, 1994)</x:v>
      </x:c>
      <x:c r="S145" s="9" t="str">
        <x:v>PC-9821, PlayStation, Saturn</x:v>
      </x:c>
      <x:c r="T145" s="9" t="str">
        <x:v>Hideyuki Tanaka (Jonathan Ingram), Kyoko Terase (Meryl), Kikuko Inoue (Karen), Shōzō Iizuka (Ed Brown), Iemasa Kayumi (Tokugawa)</x:v>
      </x:c>
      <x:c r="U145" s="9" t="n">
        <x:v>2</x:v>
      </x:c>
      <x:c r="V145" s="9" t="str">
        <x:v>Yes</x:v>
      </x:c>
      <x:c r="W145" s="9" t="str">
        <x:v>Standard 3DO control pad; 3DO Mouse (verify); light gun only on Saturn</x:v>
      </x:c>
      <x:c r="X145" s="9" t="str">
        <x:v>Low–Med</x:v>
      </x:c>
      <x:c r="Y145" s="9" t="str">
        <x:v>Konami score and vocal end theme</x:v>
      </x:c>
      <x:c r="Z145" s="9" t="str">
        <x:v>8–12 hr</x:v>
      </x:c>
      <x:c r="AA145" s="9" t="str">
        <x:v>Kojima's Lethal Weapon-in-space: the 3DO cut is where the AIC cel-animated cutscenes first appeared, at 24 fps the PlayStation couldn't match.</x:v>
      </x:c>
      <x:c r="AB145" s="9" t="str">
        <x:v>None known; Pilot Disk demo includes glossary and design docs</x:v>
      </x:c>
      <x:c r="AC145" s="9" t="str">
        <x:v>Windowed cel-animated cutscenes (AIC) at 24 fps, Cinepak; most of the game is voiced stills</x:v>
      </x:c>
      <x:c r="AD145" s="9" t="str">
        <x:v>Easy adventure with a few timed shooting segments and a bomb-defusal puzzle</x:v>
      </x:c>
      <x:c r="AE145" s="9" t="str">
        <x:v>Single canonical ending; game-over branches from failed shooting/timed scenes</x:v>
      </x:c>
      <x:c r="AF145" s="9" t="str">
        <x:v>Released Sept 29 1995 after the 3DO had died in Japan; the April 1995 Pilot Disk reportedly outsold the full game. Subtitles were added after a hearing-impaired player complained.</x:v>
      </x:c>
      <x:c r="AG145" s="9" t="str">
        <x:v>3DO main game; Policenauts Pilot Disk (April 21 1995) demo</x:v>
      </x:c>
      <x:c r="AH145" s="9" t="str">
        <x:v>No (fan translation exists for PS/Saturn, not 3DO)</x:v>
      </x:c>
      <x:c r="AI145" s="9" t="str">
        <x:v>Easy</x:v>
      </x:c>
      <x:c r="AJ145" s="9"/>
      <x:c r="AK145" s="9" t="str">
        <x:v>Mostly voiced still art; streamed anime FMV at key scenes; fmv 4. Two discs (main game, Sep 29, 1995); the Policenauts Pilot Disk demo is a separate 1-disc release.</x:v>
      </x:c>
      <x:c r="AL145" s="10" t="n">
        <x:v>29</x:v>
      </x:c>
      <x:c r="AM145" s="10" t="n">
        <x:v>39.99</x:v>
      </x:c>
      <x:c r="AN145" s="10" t="n">
        <x:v>80</x:v>
      </x:c>
      <x:c r="AO145" s="9" t="str">
        <x:v>2026-10-20</x:v>
      </x:c>
      <x:c r="AP145" s="11" t="str">
        <x:f>HYPERLINK("https://www.pricecharting.com/search-products?q=Policenauts+3do&amp;type=prices","PriceCharting")</x:f>
        <x:v>PriceCharting</x:v>
      </x:c>
      <x:c r="AQ145" s="9"/>
      <x:c r="AR145" s="9"/>
      <x:c r="AS145" s="9"/>
      <x:c r="AT145" s="9"/>
      <x:c r="AU145" s="9"/>
      <x:c r="AV145" s="9"/>
      <x:c r="AW145" s="9"/>
      <x:c r="AX145" s="9"/>
      <x:c r="AY145" s="9"/>
      <x:c r="AZ145" s="9"/>
      <x:c r="BA145" s="11" t="str">
        <x:f>HYPERLINK("https://www.mobygames.com/game/3do/policenauts","MobyGames")</x:f>
        <x:v>MobyGames</x:v>
      </x:c>
      <x:c r="BB145" s="9"/>
      <x:c r="BC145" s="9"/>
      <x:c r="BD145" s="9"/>
      <x:c r="BE145" s="11" t="str">
        <x:f>HYPERLINK("https://en.wikipedia.org/wiki/Policenauts","Wikipedia")</x:f>
        <x:v>Wikipedia</x:v>
      </x:c>
      <x:c r="BF145" s="11" t="str">
        <x:f>HYPERLINK("https://backloggd.com/search/games/Policenauts/","Backloggd")</x:f>
        <x:v>Backloggd</x:v>
      </x:c>
      <x:c r="BG145" s="9"/>
      <x:c r="BH145" s="9"/>
      <x:c r="BI145" s="12" t="str">
        <x:v>No</x:v>
      </x:c>
      <x:c r="BJ145" s="12" t="str"/>
      <x:c r="BK145" s="12" t="str">
        <x:v>No</x:v>
      </x:c>
      <x:c r="BL145" s="12" t="str"/>
      <x:c r="BM145" s="12" t="str"/>
      <x:c r="BN145" s="12" t="str"/>
      <x:c r="BO145" s="12" t="str"/>
      <x:c r="BP145" s="12" t="str"/>
      <x:c r="BQ145" s="12" t="str"/>
    </x:row>
    <x:row r="146">
      <x:c r="A146" s="9" t="str">
        <x:v>cdi-1</x:v>
      </x:c>
      <x:c r="B146" s="9" t="str">
        <x:v>mad-dog-mccree</x:v>
      </x:c>
      <x:c r="C146" s="9" t="str">
        <x:v>Philips CD-i</x:v>
      </x:c>
      <x:c r="D146" s="9" t="str">
        <x:v>Mad Dog McCree</x:v>
      </x:c>
      <x:c r="E146" s="9" t="str"/>
      <x:c r="F146" s="9" t="str">
        <x:v>American Laser Games; CD-i conversion by CapDisc (Capitol Disc Interactive) (The World of CD-i)</x:v>
      </x:c>
      <x:c r="G146" s="9" t="str">
        <x:v>Philips Media (NA/EU) (The World of CD-i)</x:v>
      </x:c>
      <x:c r="H146" s="9" t="n">
        <x:v>1994</x:v>
      </x:c>
      <x:c r="I146" s="9" t="str">
        <x:v>Yes</x:v>
      </x:c>
      <x:c r="J146" s="9" t="str">
        <x:v>No</x:v>
      </x:c>
      <x:c r="K146" s="9" t="str">
        <x:v>Yes</x:v>
      </x:c>
      <x:c r="L146" s="9" t="str">
        <x:v>No</x:v>
      </x:c>
      <x:c r="M146" s="9" t="str">
        <x:v>Light-gun rail shooter</x:v>
      </x:c>
      <x:c r="N146" s="9" t="str">
        <x:v>Live-action</x:v>
      </x:c>
      <x:c r="O146" s="9" t="n">
        <x:v>10</x:v>
      </x:c>
      <x:c r="P146" s="9" t="str">
        <x:v>American Laser Games</x:v>
      </x:c>
      <x:c r="Q146" s="9" t="str">
        <x:v>Released</x:v>
      </x:c>
      <x:c r="R146" s="9" t="str">
        <x:v>Arcade laserdisc game (American Laser Games, 1990)</x:v>
      </x:c>
      <x:c r="S146" s="9" t="str">
        <x:v>Arcade, Sega CD, 3DO, DOS/Windows, DVD TV game, Wii, iOS, 3DS, PS3</x:v>
      </x:c>
      <x:c r="T146" s="9" t="str">
        <x:v>Ben Zeller (Prospector), Russ/Rusty Dillen (Mad Dog), Lori Dillen (barfly), Carol Eason (undertaker)</x:v>
      </x:c>
      <x:c r="U146" s="9" t="n">
        <x:v>1</x:v>
      </x:c>
      <x:c r="V146" s="9" t="str">
        <x:v>No</x:v>
      </x:c>
      <x:c r="W146" s="9" t="str">
        <x:v>Digital Video Cartridge required; Peacekeeper Revolver light gun is the listed controller (The World of CD-i). Also playable with the CD-i pad, mouse or trackball. Sold standalone and in a big box with the Peacekeeper Revolver.</x:v>
      </x:c>
      <x:c r="X146" s="9" t="str">
        <x:v>Low</x:v>
      </x:c>
      <x:c r="Y146" s="9" t="str"/>
      <x:c r="Z146" s="9" t="str">
        <x:v>20–40 min</x:v>
      </x:c>
      <x:c r="AA146" s="9" t="str">
        <x:v>The game that launched the CD-i's light-gun push: full-screen MPEG video and a Peacekeeper Revolver in the box made it the best home Mad Dog of its day.</x:v>
      </x:c>
      <x:c r="AB146" s="9" t="str">
        <x:v>None known</x:v>
      </x:c>
      <x:c r="AC146" s="9" t="str">
        <x:v>Full-screen MPEG-1 via the Digital Video Cartridge at the standard MPEG-1 size, 352×240 at 30 fps (NTSC) or 352×288 at 25 fps (PAL); widely regarded as the best home version of the era.</x:v>
      </x:c>
      <x:c r="AD146" s="9" t="str">
        <x:v>Easy once memorised; much easier with the Peacekeeper than the pad</x:v>
      </x:c>
      <x:c r="AE146" s="9" t="str">
        <x:v>Linear; one ending (defeat Mad Dog in the final showdown); branching only via mistakes/deaths</x:v>
      </x:c>
      <x:c r="AF146" s="9" t="str">
        <x:v>Budget was about $125,000; Russ Dillen dyed his blonde hair black to play Mad Dog. The Peacekeeper Revolver was launched alongside this CD-i release in 1994.</x:v>
      </x:c>
      <x:c r="AG146" s="9" t="str">
        <x:v>Game-only box; game + Peacekeeper Revolver bundle box; EU/Italian catalogue variants listed on The World of CD-i</x:v>
      </x:c>
      <x:c r="AH146" s="9" t="str">
        <x:v>No verified current digital sale; original discs and legacy Digital Leisure editions (platforms vary).</x:v>
      </x:c>
      <x:c r="AI146" s="9" t="str">
        <x:v>Add-on required</x:v>
      </x:c>
      <x:c r="AJ146" s="9"/>
      <x:c r="AK146" s="9" t="str">
        <x:v>DVC requirement and Peacekeeper bundle confirmed via CD-i database snippet and Wikipedia Peacekeeper Revolver article. Developer/publisher credits for the CD-i port not confirmed (WebFetch blocked). MobyGames scores not visible in search.</x:v>
      </x:c>
      <x:c r="AL146" s="10" t="n">
        <x:v>12.88</x:v>
      </x:c>
      <x:c r="AM146" s="10" t="n">
        <x:v>20.2</x:v>
      </x:c>
      <x:c r="AN146" s="10" t="n">
        <x:v>100.72</x:v>
      </x:c>
      <x:c r="AO146" s="9" t="str">
        <x:v>2026-10-20</x:v>
      </x:c>
      <x:c r="AP146" s="11" t="str">
        <x:f>HYPERLINK("https://www.pricecharting.com/game/cd-i/mad-dog-mccree","PriceCharting")</x:f>
        <x:v>PriceCharting</x:v>
      </x:c>
      <x:c r="AQ146" s="9"/>
      <x:c r="AR146" s="9"/>
      <x:c r="AS146" s="9"/>
      <x:c r="AT146" s="9"/>
      <x:c r="AU146" s="9"/>
      <x:c r="AV146" s="9"/>
      <x:c r="AW146" s="9"/>
      <x:c r="AX146" s="9"/>
      <x:c r="AY146" s="9" t="str">
        <x:v>61%</x:v>
      </x:c>
      <x:c r="AZ146" s="9"/>
      <x:c r="BA146" s="11" t="str">
        <x:f>HYPERLINK("https://www.mobygames.com/game/457/mad-dog-mccree/","MobyGames")</x:f>
        <x:v>MobyGames</x:v>
      </x:c>
      <x:c r="BB146" s="9"/>
      <x:c r="BC146" s="9"/>
      <x:c r="BD146" s="9"/>
      <x:c r="BE146" s="11" t="str">
        <x:f>HYPERLINK("https://en.wikipedia.org/wiki/Mad_Dog_McCree","Wikipedia")</x:f>
        <x:v>Wikipedia</x:v>
      </x:c>
      <x:c r="BF146" s="11" t="str">
        <x:f>HYPERLINK("https://backloggd.com/search/games/Mad%20Dog%20McCree/","Backloggd")</x:f>
        <x:v>Backloggd</x:v>
      </x:c>
      <x:c r="BG146" s="9"/>
      <x:c r="BH146" s="9"/>
      <x:c r="BI146" s="12" t="str">
        <x:v>No</x:v>
      </x:c>
      <x:c r="BJ146" s="12" t="str"/>
      <x:c r="BK146" s="12" t="str">
        <x:v>No</x:v>
      </x:c>
      <x:c r="BL146" s="12" t="str"/>
      <x:c r="BM146" s="12" t="str"/>
      <x:c r="BN146" s="12" t="str"/>
      <x:c r="BO146" s="12" t="str"/>
      <x:c r="BP146" s="12" t="str"/>
      <x:c r="BQ146" s="12" t="str"/>
    </x:row>
    <x:row r="147">
      <x:c r="A147" s="9" t="str">
        <x:v>cdi-2</x:v>
      </x:c>
      <x:c r="B147" s="9" t="str">
        <x:v>mad-dog-ii-the-lost-gold</x:v>
      </x:c>
      <x:c r="C147" s="9" t="str">
        <x:v>Philips CD-i</x:v>
      </x:c>
      <x:c r="D147" s="9" t="str">
        <x:v>Mad Dog II: The Lost Gold</x:v>
      </x:c>
      <x:c r="E147" s="9" t="str"/>
      <x:c r="F147" s="9" t="str">
        <x:v>American Laser Games; CD-i conversion by CapDisc (The World of CD-i)</x:v>
      </x:c>
      <x:c r="G147" s="9" t="str">
        <x:v>Philips Interactive Media (NA/EU)</x:v>
      </x:c>
      <x:c r="H147" s="9" t="n">
        <x:v>1994</x:v>
      </x:c>
      <x:c r="I147" s="9" t="str">
        <x:v>Yes</x:v>
      </x:c>
      <x:c r="J147" s="9" t="str">
        <x:v>No</x:v>
      </x:c>
      <x:c r="K147" s="9" t="str">
        <x:v>Yes</x:v>
      </x:c>
      <x:c r="L147" s="9" t="str">
        <x:v>No</x:v>
      </x:c>
      <x:c r="M147" s="9" t="str">
        <x:v>Light-gun rail shooter</x:v>
      </x:c>
      <x:c r="N147" s="9" t="str">
        <x:v>Live-action</x:v>
      </x:c>
      <x:c r="O147" s="9" t="n">
        <x:v>10</x:v>
      </x:c>
      <x:c r="P147" s="9" t="str">
        <x:v>American Laser Games</x:v>
      </x:c>
      <x:c r="Q147" s="9" t="str">
        <x:v>Released</x:v>
      </x:c>
      <x:c r="R147" s="9" t="str">
        <x:v>Arcade laserdisc game (American Laser Games, 1992)</x:v>
      </x:c>
      <x:c r="S147" s="9" t="str">
        <x:v>Arcade, Sega CD, 3DO, DOS, DVD TV game, Wii, PS3/PSN</x:v>
      </x:c>
      <x:c r="T147" s="9" t="str">
        <x:v>Ben Zeller (stagecoach driver; the Prospector in the first game). No other notable cast.</x:v>
      </x:c>
      <x:c r="U147" s="9" t="n">
        <x:v>1</x:v>
      </x:c>
      <x:c r="V147" s="9" t="str">
        <x:v>No</x:v>
      </x:c>
      <x:c r="W147" s="9" t="str">
        <x:v>Digital Video Cartridge required; Peacekeeper Revolver light gun is the listed controller (The World of CD-i). Also playable with the CD-i pad, mouse or trackball.</x:v>
      </x:c>
      <x:c r="X147" s="9" t="str">
        <x:v>Low</x:v>
      </x:c>
      <x:c r="Y147" s="9" t="str"/>
      <x:c r="Z147" s="9" t="str">
        <x:v>30–45 min per route</x:v>
      </x:c>
      <x:c r="AA147" s="9" t="str">
        <x:v>Pick one of three guides and ride three different routes to the same train-and-hideout finale, in full-screen MPEG video.</x:v>
      </x:c>
      <x:c r="AB147" s="9" t="str">
        <x:v>None known</x:v>
      </x:c>
      <x:c r="AC147" s="9" t="str">
        <x:v>Full-screen MPEG-1 via the Digital Video Cartridge at the standard MPEG-1 size, 352×240 at 30 fps (NTSC) or 352×288 at 25 fps (PAL); widely regarded as the best home version of the era.</x:v>
      </x:c>
      <x:c r="AD147" s="9" t="str">
        <x:v>Three lives; light gun strongly recommended over the pad</x:v>
      </x:c>
      <x:c r="AE147" s="9" t="str">
        <x:v>Three branching guide routes (Buckskin Bonnie, the Professor, Shooting Beaver) converge on one ending; the 'sand in the chest' gag reportedly absent on CD-i (verify)</x:v>
      </x:c>
      <x:c r="AF147" s="9" t="str">
        <x:v>Reportedly the hidden 'fool's gold' sand-chest ending seen on other versions is missing from the CD-i and DVD releases (verify).</x:v>
      </x:c>
      <x:c r="AG147" s="9" t="str">
        <x:v>Game-only box; later CD-i compilation 'Mad Dog McCree 1 &amp; 2' bundles reported — verify</x:v>
      </x:c>
      <x:c r="AH147" s="9" t="str">
        <x:v>No verified current digital sale; original discs and legacy Digital Leisure editions (platforms vary).</x:v>
      </x:c>
      <x:c r="AI147" s="9" t="str">
        <x:v>Add-on required</x:v>
      </x:c>
      <x:c r="AJ147" s="9"/>
      <x:c r="AK147" s="9" t="str">
        <x:v>CD-i year conflicts: Wikipedia/Giant Bomb say 1994, RegVault says 1995 (Philips Interactive Media). DVC requirement assumed from all ALG CD-i ports using MPEG — verify.</x:v>
      </x:c>
      <x:c r="AL147" s="10" t="n">
        <x:v>16.73</x:v>
      </x:c>
      <x:c r="AM147" s="10" t="n">
        <x:v>30</x:v>
      </x:c>
      <x:c r="AN147" s="10" t="n">
        <x:v>15.5</x:v>
      </x:c>
      <x:c r="AO147" s="9" t="str">
        <x:v>2026-10-20</x:v>
      </x:c>
      <x:c r="AP147" s="11" t="str">
        <x:f>HYPERLINK("https://www.pricecharting.com/game/cd-i/mad-dog-mccree-ii","PriceCharting")</x:f>
        <x:v>PriceCharting</x:v>
      </x:c>
      <x:c r="AQ147" s="9"/>
      <x:c r="AR147" s="9"/>
      <x:c r="AS147" s="9"/>
      <x:c r="AT147" s="9"/>
      <x:c r="AU147" s="9"/>
      <x:c r="AV147" s="9"/>
      <x:c r="AW147" s="9"/>
      <x:c r="AX147" s="9"/>
      <x:c r="AY147" s="9"/>
      <x:c r="AZ147" s="9"/>
      <x:c r="BA147" s="11" t="str">
        <x:f>HYPERLINK("https://www.mobygames.com/game/857/mad-dog-ii-the-lost-gold/","MobyGames")</x:f>
        <x:v>MobyGames</x:v>
      </x:c>
      <x:c r="BB147" s="9" t="str">
        <x:v>84%</x:v>
      </x:c>
      <x:c r="BC147" s="9" t="str">
        <x:v>average of 2 reviews on Wikipedia (CDi, Power Unlimited)</x:v>
      </x:c>
      <x:c r="BD147" s="9" t="str">
        <x:f>HYPERLINK("https://en.wikipedia.org/wiki/Mad_Dog_II%3A_The_Lost_Gold","Source")</x:f>
        <x:v>Source</x:v>
      </x:c>
      <x:c r="BE147" s="11" t="str">
        <x:f>HYPERLINK("https://en.wikipedia.org/wiki/Mad_Dog_II:_The_Lost_Gold","Wikipedia")</x:f>
        <x:v>Wikipedia</x:v>
      </x:c>
      <x:c r="BF147" s="11" t="str">
        <x:f>HYPERLINK("https://backloggd.com/search/games/Mad%20Dog%20II%3A%20The%20Lost%20Gold/","Backloggd")</x:f>
        <x:v>Backloggd</x:v>
      </x:c>
      <x:c r="BG147" s="9"/>
      <x:c r="BH147" s="9"/>
      <x:c r="BI147" s="12" t="str">
        <x:v>No</x:v>
      </x:c>
      <x:c r="BJ147" s="12" t="str"/>
      <x:c r="BK147" s="12" t="str">
        <x:v>No</x:v>
      </x:c>
      <x:c r="BL147" s="12" t="str"/>
      <x:c r="BM147" s="12" t="str"/>
      <x:c r="BN147" s="12" t="str"/>
      <x:c r="BO147" s="12" t="str"/>
      <x:c r="BP147" s="12" t="str"/>
      <x:c r="BQ147" s="12" t="str"/>
    </x:row>
    <x:row r="148">
      <x:c r="A148" s="9" t="str">
        <x:v>cdi-3</x:v>
      </x:c>
      <x:c r="B148" s="9" t="str">
        <x:v>who-shot-johnny-rock</x:v>
      </x:c>
      <x:c r="C148" s="9" t="str">
        <x:v>Philips CD-i</x:v>
      </x:c>
      <x:c r="D148" s="9" t="str">
        <x:v>Who Shot Johnny Rock?</x:v>
      </x:c>
      <x:c r="E148" s="9" t="str"/>
      <x:c r="F148" s="9" t="str">
        <x:v>American Laser Games; CD-i conversion by CapDisc (per The World of CD-i)</x:v>
      </x:c>
      <x:c r="G148" s="9" t="str">
        <x:v>Philips Media (NA/EU)</x:v>
      </x:c>
      <x:c r="H148" s="9" t="n">
        <x:v>1995</x:v>
      </x:c>
      <x:c r="I148" s="9" t="str">
        <x:v>Yes</x:v>
      </x:c>
      <x:c r="J148" s="9" t="str">
        <x:v>No</x:v>
      </x:c>
      <x:c r="K148" s="9" t="str">
        <x:v>Yes</x:v>
      </x:c>
      <x:c r="L148" s="9" t="str">
        <x:v>No</x:v>
      </x:c>
      <x:c r="M148" s="9" t="str">
        <x:v>Light-gun rail shooter</x:v>
      </x:c>
      <x:c r="N148" s="9" t="str">
        <x:v>Live-action</x:v>
      </x:c>
      <x:c r="O148" s="9" t="n">
        <x:v>10</x:v>
      </x:c>
      <x:c r="P148" s="9" t="str">
        <x:v>American Laser Games</x:v>
      </x:c>
      <x:c r="Q148" s="9" t="str">
        <x:v>Released</x:v>
      </x:c>
      <x:c r="R148" s="9" t="str">
        <x:v>Arcade laserdisc game (American Laser Games, 1991)</x:v>
      </x:c>
      <x:c r="S148" s="9" t="str">
        <x:v>Arcade, Sega CD, 3DO, DOS, Windows, DVD TV game</x:v>
      </x:c>
      <x:c r="T148" s="9" t="str">
        <x:v>—</x:v>
      </x:c>
      <x:c r="U148" s="9" t="n">
        <x:v>1</x:v>
      </x:c>
      <x:c r="V148" s="9" t="str">
        <x:v>No</x:v>
      </x:c>
      <x:c r="W148" s="9" t="str">
        <x:v>Digital Video Cartridge required; Peacekeeper Revolver light gun is the listed controller (The World of CD-i). Also playable with the CD-i pad, mouse or trackball.</x:v>
      </x:c>
      <x:c r="X148" s="9" t="str">
        <x:v>Low</x:v>
      </x:c>
      <x:c r="Y148" s="9" t="str"/>
      <x:c r="Z148" s="9" t="str">
        <x:v>30–45 min</x:v>
      </x:c>
      <x:c r="AA148" s="9" t="str">
        <x:v>A 1930s gangster murder mystery where the killer is randomly picked from four suspects each playthrough, here in the sharpest home video of the time.</x:v>
      </x:c>
      <x:c r="AB148" s="9" t="str">
        <x:v>None known</x:v>
      </x:c>
      <x:c r="AC148" s="9" t="str">
        <x:v>Full-screen MPEG-1 via the Digital Video Cartridge at the standard MPEG-1 size, 352×240 at 30 fps (NTSC) or 352×288 at 25 fps (PAL); widely regarded as the best home version of the era.</x:v>
      </x:c>
      <x:c r="AD148" s="9" t="str">
        <x:v>Hard; money system means game over when cash runs out</x:v>
      </x:c>
      <x:c r="AE148" s="9" t="str">
        <x:v>Randomised culprit among four gangsters; final mansion confrontation; one ending structure</x:v>
      </x:c>
      <x:c r="AF148" s="9" t="str">
        <x:v>Shown at the 1991 Las Vegas Amusement Expo as 'Who Killed Johnny Rock?'.</x:v>
      </x:c>
      <x:c r="AG148" s="9" t="str">
        <x:v>NA and EU (incl. Italian catalogue) releases — verify box differences</x:v>
      </x:c>
      <x:c r="AH148" s="9" t="str">
        <x:v>No verified current digital sale; original discs and legacy Digital Leisure editions (platforms vary).</x:v>
      </x:c>
      <x:c r="AI148" s="9" t="str">
        <x:v>Add-on required</x:v>
      </x:c>
      <x:c r="AJ148" s="9"/>
      <x:c r="AK148" s="9" t="str">
        <x:v>CD-i release NA and EU 1995 per Wikipedia snippet. The World of CD-i lists producer CapDisc, publisher Philips Media, 1995, Peacekeeper.</x:v>
      </x:c>
      <x:c r="AL148" s="10" t="n">
        <x:v>15.81</x:v>
      </x:c>
      <x:c r="AM148" s="10" t="n">
        <x:v>24.91</x:v>
      </x:c>
      <x:c r="AN148" s="10" t="n">
        <x:v>54.99</x:v>
      </x:c>
      <x:c r="AO148" s="9" t="str">
        <x:v>2026-10-20</x:v>
      </x:c>
      <x:c r="AP148" s="11" t="str">
        <x:f>HYPERLINK("https://www.pricecharting.com/game/cd-i/who-shot-johnny-rock","PriceCharting")</x:f>
        <x:v>PriceCharting</x:v>
      </x:c>
      <x:c r="AQ148" s="9"/>
      <x:c r="AR148" s="9"/>
      <x:c r="AS148" s="9"/>
      <x:c r="AT148" s="9"/>
      <x:c r="AU148" s="9"/>
      <x:c r="AV148" s="9"/>
      <x:c r="AW148" s="9"/>
      <x:c r="AX148" s="9"/>
      <x:c r="AY148" s="9" t="str">
        <x:v>63%</x:v>
      </x:c>
      <x:c r="AZ148" s="9" t="str">
        <x:v>2.8</x:v>
      </x:c>
      <x:c r="BA148" s="11" t="str">
        <x:f>HYPERLINK("https://www.mobygames.com/game/890/who-shot-johnny-rock/","MobyGames")</x:f>
        <x:v>MobyGames</x:v>
      </x:c>
      <x:c r="BB148" s="9"/>
      <x:c r="BC148" s="9"/>
      <x:c r="BD148" s="9"/>
      <x:c r="BE148" s="11" t="str">
        <x:f>HYPERLINK("https://en.wikipedia.org/wiki/Who_Shot_Johnny_Rock%3F","Wikipedia")</x:f>
        <x:v>Wikipedia</x:v>
      </x:c>
      <x:c r="BF148" s="11" t="str">
        <x:f>HYPERLINK("https://backloggd.com/search/games/Who%20Shot%20Johnny%20Rock%3F/","Backloggd")</x:f>
        <x:v>Backloggd</x:v>
      </x:c>
      <x:c r="BG148" s="9"/>
      <x:c r="BH148" s="9"/>
      <x:c r="BI148" s="12" t="str">
        <x:v>No</x:v>
      </x:c>
      <x:c r="BJ148" s="12" t="str"/>
      <x:c r="BK148" s="12" t="str">
        <x:v>No</x:v>
      </x:c>
      <x:c r="BL148" s="12" t="str"/>
      <x:c r="BM148" s="12" t="str"/>
      <x:c r="BN148" s="12" t="str"/>
      <x:c r="BO148" s="12" t="str"/>
      <x:c r="BP148" s="12" t="str"/>
      <x:c r="BQ148" s="12" t="str"/>
    </x:row>
    <x:row r="149">
      <x:c r="A149" s="9" t="str">
        <x:v>cdi-4</x:v>
      </x:c>
      <x:c r="B149" s="9" t="str">
        <x:v>crime-patrol</x:v>
      </x:c>
      <x:c r="C149" s="9" t="str">
        <x:v>Philips CD-i</x:v>
      </x:c>
      <x:c r="D149" s="9" t="str">
        <x:v>Crime Patrol</x:v>
      </x:c>
      <x:c r="E149" s="9" t="str"/>
      <x:c r="F149" s="9" t="str">
        <x:v>American Laser Games; CD-i conversion by CapDisc (Giant Bomb)</x:v>
      </x:c>
      <x:c r="G149" s="9" t="str">
        <x:v>Philips Interactive Media</x:v>
      </x:c>
      <x:c r="H149" s="9" t="n">
        <x:v>1996</x:v>
      </x:c>
      <x:c r="I149" s="9" t="str">
        <x:v>No</x:v>
      </x:c>
      <x:c r="J149" s="9" t="str">
        <x:v>No</x:v>
      </x:c>
      <x:c r="K149" s="9" t="str">
        <x:v>Yes</x:v>
      </x:c>
      <x:c r="L149" s="9" t="str">
        <x:v>No</x:v>
      </x:c>
      <x:c r="M149" s="9" t="str">
        <x:v>Light-gun rail shooter</x:v>
      </x:c>
      <x:c r="N149" s="9" t="str">
        <x:v>Live-action</x:v>
      </x:c>
      <x:c r="O149" s="9" t="n">
        <x:v>10</x:v>
      </x:c>
      <x:c r="P149" s="9" t="str">
        <x:v>American Laser Games</x:v>
      </x:c>
      <x:c r="Q149" s="9" t="str">
        <x:v>Released</x:v>
      </x:c>
      <x:c r="R149" s="9" t="str">
        <x:v>Arcade laserdisc game (American Laser Games, 1993)</x:v>
      </x:c>
      <x:c r="S149" s="9" t="str">
        <x:v>Arcade, Sega CD, 3DO, DOS, Mac, Windows, DVD TV game</x:v>
      </x:c>
      <x:c r="T149" s="9" t="str">
        <x:v>—</x:v>
      </x:c>
      <x:c r="U149" s="9" t="n">
        <x:v>1</x:v>
      </x:c>
      <x:c r="V149" s="9" t="str">
        <x:v>No</x:v>
      </x:c>
      <x:c r="W149" s="9" t="str">
        <x:v>Digital Video Cartridge required; Peacekeeper Revolver light gun is the listed controller (The World of CD-i). Also playable with the CD-i pad, mouse or trackball.</x:v>
      </x:c>
      <x:c r="X149" s="9" t="str">
        <x:v>Low</x:v>
      </x:c>
      <x:c r="Y149" s="9" t="str"/>
      <x:c r="Z149" s="9" t="str">
        <x:v>30–45 min</x:v>
      </x:c>
      <x:c r="AA149" s="9" t="str">
        <x:v>Rise from rookie beat cop to SWAT and Delta Force in a game that plays like a cheap 80s cop show you can shoot at.</x:v>
      </x:c>
      <x:c r="AB149" s="9" t="str">
        <x:v>None known</x:v>
      </x:c>
      <x:c r="AC149" s="9" t="str">
        <x:v>Full-screen MPEG-1 via the Digital Video Cartridge at the standard MPEG-1 size, 352×240 at 30 fps (NTSC) or 352×288 at 25 fps (PAL); widely regarded as the best home version of the era.</x:v>
      </x:c>
      <x:c r="AD149" s="9" t="str">
        <x:v>Moderate; fast enemy draws</x:v>
      </x:c>
      <x:c r="AE149" s="9" t="str">
        <x:v>Linear four-tier progression (Rookie, Undercover, SWAT, Delta Force); one ending</x:v>
      </x:c>
      <x:c r="AF149" s="9" t="str">
        <x:v>A May 1995 CD-i magazine previewed it as a detective adventure 'in the spirit of Mad Dog McCree'; it arrived in 1996.</x:v>
      </x:c>
      <x:c r="AG149" s="9" t="str">
        <x:v>EU jewel-case release, cat. 8100194 (World of CD-i), sold in France, Germany, the Netherlands and the UK (MobyGames); no US CD-i release known (verify)</x:v>
      </x:c>
      <x:c r="AH149" s="9" t="str">
        <x:v>No verified current digital sale; original discs and legacy Digital Leisure editions (platforms vary).</x:v>
      </x:c>
      <x:c r="AI149" s="9" t="str">
        <x:v>Add-on required</x:v>
      </x:c>
      <x:c r="AJ149" s="9"/>
      <x:c r="AK149" s="9" t="str">
        <x:v>Wikipedia CD-i list gives 1996 / Philips Interactive Media. Region not confirmed: late Philips Media titles were often Europe-only, so na=false is a guess (verify NA release).</x:v>
      </x:c>
      <x:c r="AL149" s="10" t="n">
        <x:v>23.55</x:v>
      </x:c>
      <x:c r="AM149" s="10" t="n">
        <x:v>38.74</x:v>
      </x:c>
      <x:c r="AN149" s="10" t="n">
        <x:v>77</x:v>
      </x:c>
      <x:c r="AO149" s="9" t="str">
        <x:v>2026-10-20</x:v>
      </x:c>
      <x:c r="AP149" s="11" t="str">
        <x:f>HYPERLINK("https://www.pricecharting.com/game/cd-i/crime-patrol","PriceCharting")</x:f>
        <x:v>PriceCharting</x:v>
      </x:c>
      <x:c r="AQ149" s="9"/>
      <x:c r="AR149" s="9"/>
      <x:c r="AS149" s="9"/>
      <x:c r="AT149" s="9"/>
      <x:c r="AU149" s="9"/>
      <x:c r="AV149" s="9"/>
      <x:c r="AW149" s="9"/>
      <x:c r="AX149" s="9"/>
      <x:c r="AY149" s="9"/>
      <x:c r="AZ149" s="9"/>
      <x:c r="BA149" s="11" t="str">
        <x:f>HYPERLINK("https://www.mobygames.com/game/459/crime-patrol/","MobyGames")</x:f>
        <x:v>MobyGames</x:v>
      </x:c>
      <x:c r="BB149" s="9"/>
      <x:c r="BC149" s="9"/>
      <x:c r="BD149" s="9"/>
      <x:c r="BE149" s="11" t="str">
        <x:f>HYPERLINK("https://en.wikipedia.org/wiki/Crime_Patrol_(video_game)","Wikipedia")</x:f>
        <x:v>Wikipedia</x:v>
      </x:c>
      <x:c r="BF149" s="11" t="str">
        <x:f>HYPERLINK("https://backloggd.com/search/games/Crime%20Patrol/","Backloggd")</x:f>
        <x:v>Backloggd</x:v>
      </x:c>
      <x:c r="BG149" s="9"/>
      <x:c r="BH149" s="9"/>
      <x:c r="BI149" s="12" t="str">
        <x:v>No</x:v>
      </x:c>
      <x:c r="BJ149" s="12" t="str"/>
      <x:c r="BK149" s="12" t="str">
        <x:v>No</x:v>
      </x:c>
      <x:c r="BL149" s="12" t="str"/>
      <x:c r="BM149" s="12" t="str"/>
      <x:c r="BN149" s="12" t="str"/>
      <x:c r="BO149" s="12" t="str"/>
      <x:c r="BP149" s="12" t="str"/>
      <x:c r="BQ149" s="12" t="str"/>
    </x:row>
    <x:row r="150">
      <x:c r="A150" s="9" t="str">
        <x:v>cdi-5</x:v>
      </x:c>
      <x:c r="B150" s="9" t="str">
        <x:v>crime-patrol-2-drug-wars</x:v>
      </x:c>
      <x:c r="C150" s="9" t="str">
        <x:v>Philips CD-i</x:v>
      </x:c>
      <x:c r="D150" s="9" t="str">
        <x:v>Drug Wars</x:v>
      </x:c>
      <x:c r="E150" s="9" t="str">
        <x:v>Crime Patrol 2: Drug Wars</x:v>
      </x:c>
      <x:c r="F150" s="9" t="str">
        <x:v>American Laser Games; CD-i conversion by Capitol Disc Interactive (CapDisc)</x:v>
      </x:c>
      <x:c r="G150" s="9" t="str">
        <x:v>Philips Interactive Media</x:v>
      </x:c>
      <x:c r="H150" s="9" t="n">
        <x:v>1996</x:v>
      </x:c>
      <x:c r="I150" s="9" t="str">
        <x:v>No</x:v>
      </x:c>
      <x:c r="J150" s="9" t="str">
        <x:v>No</x:v>
      </x:c>
      <x:c r="K150" s="9" t="str">
        <x:v>Yes</x:v>
      </x:c>
      <x:c r="L150" s="9" t="str">
        <x:v>No</x:v>
      </x:c>
      <x:c r="M150" s="9" t="str">
        <x:v>Light-gun rail shooter</x:v>
      </x:c>
      <x:c r="N150" s="9" t="str">
        <x:v>Live-action</x:v>
      </x:c>
      <x:c r="O150" s="9" t="n">
        <x:v>10</x:v>
      </x:c>
      <x:c r="P150" s="9" t="str">
        <x:v>American Laser Games</x:v>
      </x:c>
      <x:c r="Q150" s="9" t="str">
        <x:v>Released</x:v>
      </x:c>
      <x:c r="R150" s="9" t="str">
        <x:v>Arcade laserdisc game (American Laser Games, 1993)</x:v>
      </x:c>
      <x:c r="S150" s="9" t="str">
        <x:v>Arcade, 3DO, DOS, DVD TV game</x:v>
      </x:c>
      <x:c r="T150" s="9" t="str">
        <x:v>—</x:v>
      </x:c>
      <x:c r="U150" s="9" t="n">
        <x:v>1</x:v>
      </x:c>
      <x:c r="V150" s="9" t="str">
        <x:v>No</x:v>
      </x:c>
      <x:c r="W150" s="9" t="str">
        <x:v>Digital Video Cartridge required; Peacekeeper Revolver light gun is the listed controller (The World of CD-i). Also playable with the CD-i pad, mouse or trackball.</x:v>
      </x:c>
      <x:c r="X150" s="9" t="str">
        <x:v>Low</x:v>
      </x:c>
      <x:c r="Y150" s="9" t="str"/>
      <x:c r="Z150" s="9" t="str">
        <x:v>30–45 min</x:v>
      </x:c>
      <x:c r="AA150" s="9" t="str">
        <x:v>You're a DEA agent chasing a drug baron from New Mexico to Chicago to the jungle, with a partner who scolds you every time you die.</x:v>
      </x:c>
      <x:c r="AB150" s="9" t="str">
        <x:v>None known</x:v>
      </x:c>
      <x:c r="AC150" s="9" t="str">
        <x:v>Full-screen MPEG-1 via the Digital Video Cartridge at the standard MPEG-1 size, 352×240 at 30 fps (NTSC) or 352×288 at 25 fps (PAL); widely regarded as the best home version of the era.</x:v>
      </x:c>
      <x:c r="AD150" s="9" t="str">
        <x:v>Moderate-hard; effectively needs a light gun</x:v>
      </x:c>
      <x:c r="AE150" s="9" t="str">
        <x:v>Four locations with three missions each, order selectable; one ending</x:v>
      </x:c>
      <x:c r="AF150" s="9" t="str">
        <x:v>ALG's seventh live-action shooter. The CD-i port was one of the last ALG conversions for the system.</x:v>
      </x:c>
      <x:c r="AG150" s="9" t="str">
        <x:v>Unknown — verify</x:v>
      </x:c>
      <x:c r="AH150" s="9" t="str">
        <x:v>No verified current digital sale; original discs and legacy Digital Leisure editions (platforms vary).</x:v>
      </x:c>
      <x:c r="AI150" s="9" t="str">
        <x:v>Add-on required</x:v>
      </x:c>
      <x:c r="AJ150" s="9"/>
      <x:c r="AK150" s="9" t="str">
        <x:v>CD-i 1996 per Wikipedia list and Giant Bomb. Region not confirmed (na=false is a guess, verify). No Sega CD version exists. PriceCharting lists both 'Drug Wars' and 'Crime Patrol 2: Drug Wars' (CIB $142, likely the PAL box); price shown is the 'Drug Wars' listing.</x:v>
      </x:c>
      <x:c r="AL150" s="10" t="n">
        <x:v>21.5</x:v>
      </x:c>
      <x:c r="AM150" s="10" t="n">
        <x:v>54.99</x:v>
      </x:c>
      <x:c r="AN150" s="10" t="n">
        <x:v>110</x:v>
      </x:c>
      <x:c r="AO150" s="9" t="str">
        <x:v>2026-10-20</x:v>
      </x:c>
      <x:c r="AP150" s="11" t="str">
        <x:f>HYPERLINK("https://www.pricecharting.com/game/cd-i/drug-wars","PriceCharting")</x:f>
        <x:v>PriceCharting</x:v>
      </x:c>
      <x:c r="AQ150" s="9"/>
      <x:c r="AR150" s="9"/>
      <x:c r="AS150" s="9"/>
      <x:c r="AT150" s="9"/>
      <x:c r="AU150" s="9"/>
      <x:c r="AV150" s="9"/>
      <x:c r="AW150" s="9"/>
      <x:c r="AX150" s="9"/>
      <x:c r="AY150" s="9"/>
      <x:c r="AZ150" s="9" t="str">
        <x:v>3.0</x:v>
      </x:c>
      <x:c r="BA150" s="11" t="str">
        <x:f>HYPERLINK("https://www.mobygames.com/game/768/drug-wars/","MobyGames")</x:f>
        <x:v>MobyGames</x:v>
      </x:c>
      <x:c r="BB150" s="9"/>
      <x:c r="BC150" s="9"/>
      <x:c r="BD150" s="9"/>
      <x:c r="BE150" s="11" t="str">
        <x:f>HYPERLINK("https://en.wikipedia.org/wiki/Crime_Patrol_2:_Drug_Wars","Wikipedia")</x:f>
        <x:v>Wikipedia</x:v>
      </x:c>
      <x:c r="BF150" s="11" t="str">
        <x:f>HYPERLINK("https://backloggd.com/search/games/Drug%20Wars/","Backloggd")</x:f>
        <x:v>Backloggd</x:v>
      </x:c>
      <x:c r="BG150" s="9"/>
      <x:c r="BH150" s="9"/>
      <x:c r="BI150" s="12" t="str">
        <x:v>No</x:v>
      </x:c>
      <x:c r="BJ150" s="12" t="str"/>
      <x:c r="BK150" s="12" t="str">
        <x:v>No</x:v>
      </x:c>
      <x:c r="BL150" s="12" t="str"/>
      <x:c r="BM150" s="12" t="str"/>
      <x:c r="BN150" s="12" t="str"/>
      <x:c r="BO150" s="12" t="str"/>
      <x:c r="BP150" s="12" t="str"/>
      <x:c r="BQ150" s="12" t="str"/>
    </x:row>
    <x:row r="151">
      <x:c r="A151" s="9" t="str">
        <x:v>cdi-6</x:v>
      </x:c>
      <x:c r="B151" s="9" t="str">
        <x:v>the-last-bounty-hunter</x:v>
      </x:c>
      <x:c r="C151" s="9" t="str">
        <x:v>Philips CD-i</x:v>
      </x:c>
      <x:c r="D151" s="9" t="str">
        <x:v>The Last Bounty Hunter</x:v>
      </x:c>
      <x:c r="E151" s="9" t="str"/>
      <x:c r="F151" s="9" t="str">
        <x:v>American Laser Games; CD-i conversion by CapDisc (The World of CD-i)</x:v>
      </x:c>
      <x:c r="G151" s="9" t="str">
        <x:v>Philips Media (EU)</x:v>
      </x:c>
      <x:c r="H151" s="9" t="n">
        <x:v>1996</x:v>
      </x:c>
      <x:c r="I151" s="9" t="str">
        <x:v>No</x:v>
      </x:c>
      <x:c r="J151" s="9" t="str">
        <x:v>No</x:v>
      </x:c>
      <x:c r="K151" s="9" t="str">
        <x:v>Yes</x:v>
      </x:c>
      <x:c r="L151" s="9" t="str">
        <x:v>No</x:v>
      </x:c>
      <x:c r="M151" s="9" t="str">
        <x:v>Light-gun rail shooter</x:v>
      </x:c>
      <x:c r="N151" s="9" t="str">
        <x:v>Live-action</x:v>
      </x:c>
      <x:c r="O151" s="9" t="n">
        <x:v>10</x:v>
      </x:c>
      <x:c r="P151" s="9" t="str">
        <x:v>American Laser Games</x:v>
      </x:c>
      <x:c r="Q151" s="9" t="str">
        <x:v>Released</x:v>
      </x:c>
      <x:c r="R151" s="9" t="str">
        <x:v>Arcade laserdisc game (American Laser Games, 1994)</x:v>
      </x:c>
      <x:c r="S151" s="9" t="str">
        <x:v>Arcade, DOS, 3DO, DVD TV game, Wii</x:v>
      </x:c>
      <x:c r="T151" s="9" t="str">
        <x:v>Wes Flowers (fast-draw champion, as a gunfighter); others uncredited</x:v>
      </x:c>
      <x:c r="U151" s="9" t="n">
        <x:v>1</x:v>
      </x:c>
      <x:c r="V151" s="9" t="str">
        <x:v>No</x:v>
      </x:c>
      <x:c r="W151" s="9" t="str">
        <x:v>Digital Video Cartridge required; Peacekeeper Revolver light gun is the listed controller (The World of CD-i). Also playable with the CD-i pad, mouse or trackball.</x:v>
      </x:c>
      <x:c r="X151" s="9" t="str">
        <x:v>Low</x:v>
      </x:c>
      <x:c r="Y151" s="9" t="str"/>
      <x:c r="Z151" s="9" t="str">
        <x:v>30–45 min</x:v>
      </x:c>
      <x:c r="AA151" s="9" t="str">
        <x:v>ALG's last Western lets you wound and capture outlaws alive for bigger bounties, and on CD-i it came boxed with a gun in Europe.</x:v>
      </x:c>
      <x:c r="AB151" s="9" t="str">
        <x:v>None known</x:v>
      </x:c>
      <x:c r="AC151" s="9" t="str">
        <x:v>Full-screen MPEG-1 via the Digital Video Cartridge at the standard MPEG-1 size, 352×240 at 30 fps (NTSC) or 352×288 at 25 fps (PAL); widely regarded as the best home version of the era.</x:v>
      </x:c>
      <x:c r="AD151" s="9" t="str">
        <x:v>Hard; some draws are near-impossible to beat first time</x:v>
      </x:c>
      <x:c r="AE151" s="9" t="str">
        <x:v>Ending varies by whether bosses were captured alive or killed; random showdown order</x:v>
      </x:c>
      <x:c r="AF151" s="9" t="str">
        <x:v>One of the last ALG laserdisc shooters; real-life fast-draw champ Wes Flowers appears, foreshadowing Fast Draw Showdown.</x:v>
      </x:c>
      <x:c r="AG151" s="9" t="str">
        <x:v>EU game-only box and game + Peacekeeper Gun bundle box (per The World of CD-i)</x:v>
      </x:c>
      <x:c r="AH151" s="9" t="str">
        <x:v>No verified current digital sale; original discs and legacy Digital Leisure editions (platforms vary).</x:v>
      </x:c>
      <x:c r="AI151" s="9" t="str">
        <x:v>Add-on required</x:v>
      </x:c>
      <x:c r="AJ151" s="9"/>
      <x:c r="AK151" s="9" t="str">
        <x:v>Wikipedia lists CD-i EU 1996 only; The World of CD-i entry shows 1994 (likely the arcade/copyright date). No NA CD-i release found.</x:v>
      </x:c>
      <x:c r="AL151" s="10" t="n">
        <x:v>48.95</x:v>
      </x:c>
      <x:c r="AM151" s="10" t="n">
        <x:v>58</x:v>
      </x:c>
      <x:c r="AN151" s="10" t="n">
        <x:v>116</x:v>
      </x:c>
      <x:c r="AO151" s="9" t="str">
        <x:v>2026-10-20</x:v>
      </x:c>
      <x:c r="AP151" s="11" t="str">
        <x:f>HYPERLINK("https://www.pricecharting.com/game/cd-i/the-last-bounty-hunter","PriceCharting")</x:f>
        <x:v>PriceCharting</x:v>
      </x:c>
      <x:c r="AQ151" s="9"/>
      <x:c r="AR151" s="9"/>
      <x:c r="AS151" s="9"/>
      <x:c r="AT151" s="9"/>
      <x:c r="AU151" s="9"/>
      <x:c r="AV151" s="9"/>
      <x:c r="AW151" s="9"/>
      <x:c r="AX151" s="9"/>
      <x:c r="AY151" s="9"/>
      <x:c r="AZ151" s="9"/>
      <x:c r="BA151" s="11" t="str">
        <x:f>HYPERLINK("https://www.mobygames.com/game/767/the-last-bounty-hunter/","MobyGames")</x:f>
        <x:v>MobyGames</x:v>
      </x:c>
      <x:c r="BB151" s="9"/>
      <x:c r="BC151" s="9"/>
      <x:c r="BD151" s="9"/>
      <x:c r="BE151" s="11" t="str">
        <x:f>HYPERLINK("https://en.wikipedia.org/wiki/The_Last_Bounty_Hunter","Wikipedia")</x:f>
        <x:v>Wikipedia</x:v>
      </x:c>
      <x:c r="BF151" s="11" t="str">
        <x:f>HYPERLINK("https://backloggd.com/search/games/The%20Last%20Bounty%20Hunter/","Backloggd")</x:f>
        <x:v>Backloggd</x:v>
      </x:c>
      <x:c r="BG151" s="9"/>
      <x:c r="BH151" s="9"/>
      <x:c r="BI151" s="12" t="str">
        <x:v>No</x:v>
      </x:c>
      <x:c r="BJ151" s="12" t="str"/>
      <x:c r="BK151" s="12" t="str">
        <x:v>No</x:v>
      </x:c>
      <x:c r="BL151" s="12" t="str"/>
      <x:c r="BM151" s="12" t="str"/>
      <x:c r="BN151" s="12" t="str"/>
      <x:c r="BO151" s="12" t="str"/>
      <x:c r="BP151" s="12" t="str"/>
      <x:c r="BQ151" s="12" t="str"/>
    </x:row>
    <x:row r="152">
      <x:c r="A152" s="9" t="str">
        <x:v>cdi-7</x:v>
      </x:c>
      <x:c r="B152" s="9" t="str">
        <x:v>dragons-lair</x:v>
      </x:c>
      <x:c r="C152" s="9" t="str">
        <x:v>Philips CD-i</x:v>
      </x:c>
      <x:c r="D152" s="9" t="str">
        <x:v>Dragon's Lair</x:v>
      </x:c>
      <x:c r="E152" s="9" t="str"/>
      <x:c r="F152" s="9" t="str">
        <x:v>Superclub / International Creative Digital Image (ICDI, Charleroi) for Philips</x:v>
      </x:c>
      <x:c r="G152" s="9" t="str">
        <x:v>Philips Interactive Media</x:v>
      </x:c>
      <x:c r="H152" s="9" t="n">
        <x:v>1994</x:v>
      </x:c>
      <x:c r="I152" s="9" t="str">
        <x:v>Yes</x:v>
      </x:c>
      <x:c r="J152" s="9" t="str">
        <x:v>No</x:v>
      </x:c>
      <x:c r="K152" s="9" t="str">
        <x:v>Yes</x:v>
      </x:c>
      <x:c r="L152" s="9" t="str">
        <x:v>No</x:v>
      </x:c>
      <x:c r="M152" s="9" t="str">
        <x:v>Interactive cartoon (QTE)</x:v>
      </x:c>
      <x:c r="N152" s="9" t="str">
        <x:v>Animated</x:v>
      </x:c>
      <x:c r="O152" s="9" t="n">
        <x:v>10</x:v>
      </x:c>
      <x:c r="P152" s="9" t="str">
        <x:v>Laserdisc port</x:v>
      </x:c>
      <x:c r="Q152" s="9" t="str">
        <x:v>Released</x:v>
      </x:c>
      <x:c r="R152" s="9" t="str">
        <x:v>Arcade laserdisc game (Cinematronics/Advanced Microcomputer Systems, Don Bluth animation, 1983)</x:v>
      </x:c>
      <x:c r="S152" s="9" t="str">
        <x:v>Arcade, Sega CD, 3DO, Jaguar CD, DOS, Mac, Amiga, DVD, Blu-ray, Wii, DSiWare, iOS, PS3, Android, Switch, Steam, PS4, Xbox</x:v>
      </x:c>
      <x:c r="T152" s="9" t="str">
        <x:v>Don Bluth (director/animator), Dan Molina (Dirk), Vera Lanpher-Pacheco (Daphne)</x:v>
      </x:c>
      <x:c r="U152" s="9" t="n">
        <x:v>1</x:v>
      </x:c>
      <x:c r="V152" s="9" t="str">
        <x:v>No</x:v>
      </x:c>
      <x:c r="W152" s="9" t="str">
        <x:v>Digital Video Cartridge required (The World of CD-i). Standard CD-i pad/thumbstick; no light gun.</x:v>
      </x:c>
      <x:c r="X152" s="9" t="str">
        <x:v>Low–Med</x:v>
      </x:c>
      <x:c r="Y152" s="9" t="str">
        <x:v>Dragon's Lair animation/score matched by Digital Leisure's many re-releases</x:v>
      </x:c>
      <x:c r="Z152" s="9" t="str">
        <x:v>15–30 min</x:v>
      </x:c>
      <x:c r="AA152" s="9" t="str">
        <x:v>Don Bluth's laserdisc classic in full-screen MPEG on a 1994 console — closer to the arcade than any other home port before DVD.</x:v>
      </x:c>
      <x:c r="AB152" s="9" t="str">
        <x:v>None known</x:v>
      </x:c>
      <x:c r="AC152" s="9" t="str">
        <x:v>Full-screen MPEG-1 via the Digital Video Cartridge at the standard MPEG-1 size, 352×240 at 30 fps (NTSC) or 352×288 at 25 fps (PAL).</x:v>
      </x:c>
      <x:c r="AD152" s="9" t="str">
        <x:v>Hard; memorisation of move windows</x:v>
      </x:c>
      <x:c r="AE152" s="9" t="str">
        <x:v>Linear with fixed room sequence; one ending (rescue Daphne)</x:v>
      </x:c>
      <x:c r="AF152" s="9" t="str">
        <x:v>Credits list Superclub as producer and ICDI in Charleroi, Belgium for integration, with Yves Boreux as digital video engineer (arcade-history entry, model 810 0181).</x:v>
      </x:c>
      <x:c r="AG152" s="9" t="str">
        <x:v>NA and EU releases (cat. 810 0181) — verify box differences</x:v>
      </x:c>
      <x:c r="AH152" s="9" t="str">
        <x:v>Yes (Dragon's Lair Trilogy — Steam, Switch, PS4, Xbox; Arcade1Up)</x:v>
      </x:c>
      <x:c r="AI152" s="9" t="str">
        <x:v>Add-on required</x:v>
      </x:c>
      <x:c r="AJ152" s="9"/>
      <x:c r="AK152" s="9" t="str">
        <x:v>Year 1994 per arcade-history copyright and listings (not 1992). DVC requirement from SAME_CDI/ROCKNIX emulator notes.</x:v>
      </x:c>
      <x:c r="AL152" s="10" t="n">
        <x:v>20.9</x:v>
      </x:c>
      <x:c r="AM152" s="10" t="n">
        <x:v>45</x:v>
      </x:c>
      <x:c r="AN152" s="10" t="n">
        <x:v>107.99</x:v>
      </x:c>
      <x:c r="AO152" s="9" t="str">
        <x:v>2026-10-20</x:v>
      </x:c>
      <x:c r="AP152" s="11" t="str">
        <x:f>HYPERLINK("https://www.pricecharting.com/game/cd-i/dragon%27s-lair","PriceCharting")</x:f>
        <x:v>PriceCharting</x:v>
      </x:c>
      <x:c r="AQ152" s="9"/>
      <x:c r="AR152" s="9"/>
      <x:c r="AS152" s="9"/>
      <x:c r="AT152" s="9"/>
      <x:c r="AU152" s="9"/>
      <x:c r="AV152" s="9"/>
      <x:c r="AW152" s="9"/>
      <x:c r="AX152" s="9"/>
      <x:c r="AY152" s="9" t="str">
        <x:v>64%</x:v>
      </x:c>
      <x:c r="AZ152" s="9" t="str">
        <x:v>4.0</x:v>
      </x:c>
      <x:c r="BA152" s="11" t="str">
        <x:f>HYPERLINK("https://www.mobygames.com/game/1503/dragons-lair/","MobyGames")</x:f>
        <x:v>MobyGames</x:v>
      </x:c>
      <x:c r="BB152" s="9"/>
      <x:c r="BC152" s="9"/>
      <x:c r="BD152" s="9"/>
      <x:c r="BE152" s="11" t="str">
        <x:f>HYPERLINK("https://en.wikipedia.org/wiki/Dragon%27s_Lair_(1983_video_game)","Wikipedia")</x:f>
        <x:v>Wikipedia</x:v>
      </x:c>
      <x:c r="BF152" s="11" t="str">
        <x:f>HYPERLINK("https://backloggd.com/search/games/Dragon%27s%20Lair/","Backloggd")</x:f>
        <x:v>Backloggd</x:v>
      </x:c>
      <x:c r="BG152" s="9"/>
      <x:c r="BH152" s="9"/>
      <x:c r="BI152" s="12" t="str">
        <x:v>No</x:v>
      </x:c>
      <x:c r="BJ152" s="12" t="str"/>
      <x:c r="BK152" s="12" t="str">
        <x:v>No</x:v>
      </x:c>
      <x:c r="BL152" s="12" t="str"/>
      <x:c r="BM152" s="12" t="str"/>
      <x:c r="BN152" s="12" t="str"/>
      <x:c r="BO152" s="12" t="str"/>
      <x:c r="BP152" s="12" t="str"/>
      <x:c r="BQ152" s="12" t="str"/>
    </x:row>
    <x:row r="153">
      <x:c r="A153" s="9" t="str">
        <x:v>cdi-8</x:v>
      </x:c>
      <x:c r="B153" s="9" t="str">
        <x:v>dragons-lair-ii-time-warp</x:v>
      </x:c>
      <x:c r="C153" s="9" t="str">
        <x:v>Philips CD-i</x:v>
      </x:c>
      <x:c r="D153" s="9" t="str">
        <x:v>Dragon's Lair II: Time Warp</x:v>
      </x:c>
      <x:c r="E153" s="9" t="str"/>
      <x:c r="F153" s="9" t="str">
        <x:v>ICDI for Philips Media (The World of CD-i)</x:v>
      </x:c>
      <x:c r="G153" s="9" t="str">
        <x:v>Philips Interactive Media</x:v>
      </x:c>
      <x:c r="H153" s="9" t="n">
        <x:v>1994</x:v>
      </x:c>
      <x:c r="I153" s="9" t="str">
        <x:v>Yes</x:v>
      </x:c>
      <x:c r="J153" s="9" t="str">
        <x:v>No</x:v>
      </x:c>
      <x:c r="K153" s="9" t="str">
        <x:v>Yes</x:v>
      </x:c>
      <x:c r="L153" s="9" t="str">
        <x:v>No</x:v>
      </x:c>
      <x:c r="M153" s="9" t="str">
        <x:v>Interactive cartoon (QTE)</x:v>
      </x:c>
      <x:c r="N153" s="9" t="str">
        <x:v>Animated</x:v>
      </x:c>
      <x:c r="O153" s="9" t="n">
        <x:v>10</x:v>
      </x:c>
      <x:c r="P153" s="9" t="str">
        <x:v>Laserdisc port</x:v>
      </x:c>
      <x:c r="Q153" s="9" t="str">
        <x:v>Released</x:v>
      </x:c>
      <x:c r="R153" s="9" t="str">
        <x:v>Arcade laserdisc game (Leland/Sullivan Bluth, 1991)</x:v>
      </x:c>
      <x:c r="S153" s="9" t="str">
        <x:v>Arcade, DOS, Mac, DVD, Blu-ray, DSiWare, iOS, Wii, PS3, Steam, Switch, PS4, Xbox</x:v>
      </x:c>
      <x:c r="T153" s="9" t="str">
        <x:v>Don Bluth (director); Dan Molina (Dirk), Vera Lanpher-Pacheco (Daphne) — verify</x:v>
      </x:c>
      <x:c r="U153" s="9" t="n">
        <x:v>1</x:v>
      </x:c>
      <x:c r="V153" s="9" t="str">
        <x:v>No</x:v>
      </x:c>
      <x:c r="W153" s="9" t="str">
        <x:v>Digital Video Cartridge required (The World of CD-i). Standard CD-i pad/thumbstick; no light gun.</x:v>
      </x:c>
      <x:c r="X153" s="9" t="str">
        <x:v>Low–Med</x:v>
      </x:c>
      <x:c r="Y153" s="9" t="str">
        <x:v>Bluth animation; uses classical music themes; matched by Digital Leisure re-releases</x:v>
      </x:c>
      <x:c r="Z153" s="9" t="str">
        <x:v>20–40 min</x:v>
      </x:c>
      <x:c r="AA153" s="9" t="str">
        <x:v>The only 1990s console release of Dirk's time-travelling sequel: Saturn, 3DO and Jaguar CD ports were announced, only CD-i shipped.</x:v>
      </x:c>
      <x:c r="AB153" s="9" t="str">
        <x:v>None known</x:v>
      </x:c>
      <x:c r="AC153" s="9" t="str">
        <x:v>Full-screen MPEG-1 via the Digital Video Cartridge at the standard MPEG-1 size, 352×240 at 30 fps (NTSC) or 352×288 at 25 fps (PAL).</x:v>
      </x:c>
      <x:c r="AD153" s="9" t="str">
        <x:v>Very hard; tight timing and long sequences</x:v>
      </x:c>
      <x:c r="AE153" s="9" t="str">
        <x:v>Linear sequence of time-warp worlds; one ending (rescue Daphne from Mordroc)</x:v>
      </x:c>
      <x:c r="AF153" s="9" t="str">
        <x:v>Home ports were announced for Saturn, CD-i, 3DO and Jaguar CD; only the CD-i version was released. Credits list a digital video engineer and Brussels video/audio processing.</x:v>
      </x:c>
      <x:c r="AG153" s="9" t="str">
        <x:v>Model 810 0125 — verify regional boxes</x:v>
      </x:c>
      <x:c r="AH153" s="9" t="str">
        <x:v>Yes (Dragon's Lair Trilogy — Steam, Switch, PS4, Xbox)</x:v>
      </x:c>
      <x:c r="AI153" s="9" t="str">
        <x:v>Add-on required</x:v>
      </x:c>
      <x:c r="AJ153" s="9"/>
      <x:c r="AK153" s="9" t="str">
        <x:v>Wikipedia gives CD-i NA 1994. EU release assumed (verify). PriceCharting has two listings ('Dragon's Lair II' CIB $44.97 and 'Dragons Lair II: Time Warp' CIB $47.46); price shown is the Time Warp listing.</x:v>
      </x:c>
      <x:c r="AL153" s="10" t="n">
        <x:v>10.4</x:v>
      </x:c>
      <x:c r="AM153" s="10" t="n">
        <x:v>47.46</x:v>
      </x:c>
      <x:c r="AN153" s="10" t="n">
        <x:v>89.44</x:v>
      </x:c>
      <x:c r="AO153" s="9" t="str">
        <x:v>2026-10-20</x:v>
      </x:c>
      <x:c r="AP153" s="11" t="str">
        <x:f>HYPERLINK("https://www.pricecharting.com/game/cd-i/dragons-lair-ii-time-warp","PriceCharting")</x:f>
        <x:v>PriceCharting</x:v>
      </x:c>
      <x:c r="AQ153" s="9"/>
      <x:c r="AR153" s="9"/>
      <x:c r="AS153" s="9"/>
      <x:c r="AT153" s="9"/>
      <x:c r="AU153" s="9"/>
      <x:c r="AV153" s="9"/>
      <x:c r="AW153" s="9"/>
      <x:c r="AX153" s="9"/>
      <x:c r="AY153" s="9" t="str">
        <x:v>58%</x:v>
      </x:c>
      <x:c r="AZ153" s="9"/>
      <x:c r="BA153" s="11" t="str">
        <x:f>HYPERLINK("https://www.mobygames.com/game/10396/dragons-lair-ii-time-warp/","MobyGames")</x:f>
        <x:v>MobyGames</x:v>
      </x:c>
      <x:c r="BB153" s="9" t="str">
        <x:v>81%</x:v>
      </x:c>
      <x:c r="BC153" s="9" t="str">
        <x:v>average of 1 review on Wikipedia (Power Unlimited)</x:v>
      </x:c>
      <x:c r="BD153" s="9" t="str">
        <x:f>HYPERLINK("https://en.wikipedia.org/wiki/Dragon%27s_Lair_II%3A_Time_Warp","Source")</x:f>
        <x:v>Source</x:v>
      </x:c>
      <x:c r="BE153" s="11" t="str">
        <x:f>HYPERLINK("https://en.wikipedia.org/wiki/Dragon%27s_Lair_II:_Time_Warp","Wikipedia")</x:f>
        <x:v>Wikipedia</x:v>
      </x:c>
      <x:c r="BF153" s="11" t="str">
        <x:f>HYPERLINK("https://backloggd.com/search/games/Dragon%27s%20Lair%20II%3A%20Time%20Warp/","Backloggd")</x:f>
        <x:v>Backloggd</x:v>
      </x:c>
      <x:c r="BG153" s="9"/>
      <x:c r="BH153" s="9"/>
      <x:c r="BI153" s="12" t="str">
        <x:v>No</x:v>
      </x:c>
      <x:c r="BJ153" s="12" t="str"/>
      <x:c r="BK153" s="12" t="str">
        <x:v>No</x:v>
      </x:c>
      <x:c r="BL153" s="12" t="str"/>
      <x:c r="BM153" s="12" t="str"/>
      <x:c r="BN153" s="12" t="str"/>
      <x:c r="BO153" s="12" t="str"/>
      <x:c r="BP153" s="12" t="str"/>
      <x:c r="BQ153" s="12" t="str"/>
    </x:row>
    <x:row r="154">
      <x:c r="A154" s="9" t="str">
        <x:v>cdi-9</x:v>
      </x:c>
      <x:c r="B154" s="9" t="str">
        <x:v>space-ace</x:v>
      </x:c>
      <x:c r="C154" s="9" t="str">
        <x:v>Philips CD-i</x:v>
      </x:c>
      <x:c r="D154" s="9" t="str">
        <x:v>Space Ace</x:v>
      </x:c>
      <x:c r="E154" s="9" t="str"/>
      <x:c r="F154" s="9" t="str">
        <x:v>ICDI for Philips Media (The World of CD-i)</x:v>
      </x:c>
      <x:c r="G154" s="9" t="str">
        <x:v>Philips Interactive Media</x:v>
      </x:c>
      <x:c r="H154" s="9" t="n">
        <x:v>1993</x:v>
      </x:c>
      <x:c r="I154" s="9" t="str">
        <x:v>Yes</x:v>
      </x:c>
      <x:c r="J154" s="9" t="str">
        <x:v>No</x:v>
      </x:c>
      <x:c r="K154" s="9" t="str">
        <x:v>Yes</x:v>
      </x:c>
      <x:c r="L154" s="9" t="str">
        <x:v>No</x:v>
      </x:c>
      <x:c r="M154" s="9" t="str">
        <x:v>Interactive cartoon (QTE)</x:v>
      </x:c>
      <x:c r="N154" s="9" t="str">
        <x:v>Animated</x:v>
      </x:c>
      <x:c r="O154" s="9" t="n">
        <x:v>10</x:v>
      </x:c>
      <x:c r="P154" s="9" t="str">
        <x:v>Laserdisc port</x:v>
      </x:c>
      <x:c r="Q154" s="9" t="str">
        <x:v>Released</x:v>
      </x:c>
      <x:c r="R154" s="9" t="str">
        <x:v>Arcade laserdisc game (Cinematronics/Don Bluth, 1984)</x:v>
      </x:c>
      <x:c r="S154" s="9" t="str">
        <x:v>Arcade, Amiga, ST, Apple IIGS, DOS, Mac, Sega CD, 3DO, Jaguar CD, DVD, Blu-ray, Wii, DSiWare, iOS, PS3, Android, Switch, Steam</x:v>
      </x:c>
      <x:c r="T154" s="9" t="str">
        <x:v>Don Bluth (director); voices incl. Michael Rye (narrator)</x:v>
      </x:c>
      <x:c r="U154" s="9" t="n">
        <x:v>1</x:v>
      </x:c>
      <x:c r="V154" s="9" t="str">
        <x:v>No</x:v>
      </x:c>
      <x:c r="W154" s="9" t="str">
        <x:v>Digital Video Cartridge required (The World of CD-i). Standard CD-i pad/thumbstick; no light gun.</x:v>
      </x:c>
      <x:c r="X154" s="9" t="str">
        <x:v>Low–Med</x:v>
      </x:c>
      <x:c r="Y154" s="9" t="str">
        <x:v>Space Ace animation/score matched by Digital Leisure re-releases</x:v>
      </x:c>
      <x:c r="Z154" s="9" t="str">
        <x:v>15–30 min</x:v>
      </x:c>
      <x:c r="AA154" s="9" t="str">
        <x:v>EGM called the CD-i port a 'pixel perfect' conversion of Bluth's second laserdisc epic — a rare home version that loses nothing.</x:v>
      </x:c>
      <x:c r="AB154" s="9" t="str">
        <x:v>Level select: lose all lives; on the Continue screen hold Left until the cursor reaches the upper left and press Button 2 four times, hold Right to the right side and press Button 2 three times, then hold Left back to the left and press Button 1 once. (GameFAQs)</x:v>
      </x:c>
      <x:c r="AC154" s="9" t="str">
        <x:v>Full-screen MPEG-1 via the Digital Video Cartridge at the standard MPEG-1 size, 352×240 at 30 fps (NTSC) or 352×288 at 25 fps (PAL).</x:v>
      </x:c>
      <x:c r="AD154" s="9" t="str">
        <x:v>Very hard; memorisation-based</x:v>
      </x:c>
      <x:c r="AE154" s="9" t="str">
        <x:v>Branching Ace/Dexter scene choices; one ending (defeat Borf)</x:v>
      </x:c>
      <x:c r="AF154" s="9" t="str">
        <x:v>EGM's reviewers averaged 7.75/10 for the CD-i version, praising the conversion but faulting replay value.</x:v>
      </x:c>
      <x:c r="AG154" s="9" t="str">
        <x:v>EU cat. 8100073 (EAN 8712581000738) and US cat. 310690059-2 (EAN 731069005926), per The World of CD-i</x:v>
      </x:c>
      <x:c r="AH154" s="9" t="str">
        <x:v>Yes (Dragon's Lair Trilogy — Steam, Switch, PS4, Xbox)</x:v>
      </x:c>
      <x:c r="AI154" s="9" t="str">
        <x:v>Add-on required</x:v>
      </x:c>
      <x:c r="AJ154" s="9"/>
      <x:c r="AK154" s="9" t="str">
        <x:v>Year 1993 per The World of CD-i and Wikipedia's CD-i list; some sources say 1994. Philips Media published it (The World of CD-i); the ReadySoft credit in one source is for other ports.</x:v>
      </x:c>
      <x:c r="AL154" s="10" t="n">
        <x:v>9.88</x:v>
      </x:c>
      <x:c r="AM154" s="10" t="n">
        <x:v>16.34</x:v>
      </x:c>
      <x:c r="AN154" s="10" t="n">
        <x:v>43.19</x:v>
      </x:c>
      <x:c r="AO154" s="9" t="str">
        <x:v>2026-10-20</x:v>
      </x:c>
      <x:c r="AP154" s="11" t="str">
        <x:f>HYPERLINK("https://www.pricecharting.com/game/cd-i/space-ace","PriceCharting")</x:f>
        <x:v>PriceCharting</x:v>
      </x:c>
      <x:c r="AQ154" s="9"/>
      <x:c r="AR154" s="9"/>
      <x:c r="AS154" s="9"/>
      <x:c r="AT154" s="9"/>
      <x:c r="AU154" s="9"/>
      <x:c r="AV154" s="9"/>
      <x:c r="AW154" s="9"/>
      <x:c r="AX154" s="9"/>
      <x:c r="AY154" s="9" t="str">
        <x:v>69%</x:v>
      </x:c>
      <x:c r="AZ154" s="9"/>
      <x:c r="BA154" s="11" t="str">
        <x:f>HYPERLINK("https://www.mobygames.com/game/6009/space-ace/","MobyGames")</x:f>
        <x:v>MobyGames</x:v>
      </x:c>
      <x:c r="BB154" s="9"/>
      <x:c r="BC154" s="9"/>
      <x:c r="BD154" s="9"/>
      <x:c r="BE154" s="11" t="str">
        <x:f>HYPERLINK("https://en.wikipedia.org/wiki/Space_Ace","Wikipedia")</x:f>
        <x:v>Wikipedia</x:v>
      </x:c>
      <x:c r="BF154" s="11" t="str">
        <x:f>HYPERLINK("https://backloggd.com/search/games/Space%20Ace/","Backloggd")</x:f>
        <x:v>Backloggd</x:v>
      </x:c>
      <x:c r="BG154" s="9"/>
      <x:c r="BH154" s="9"/>
      <x:c r="BI154" s="12" t="str">
        <x:v>No</x:v>
      </x:c>
      <x:c r="BJ154" s="12" t="str"/>
      <x:c r="BK154" s="12" t="str">
        <x:v>No</x:v>
      </x:c>
      <x:c r="BL154" s="12" t="str"/>
      <x:c r="BM154" s="12" t="str"/>
      <x:c r="BN154" s="12" t="str"/>
      <x:c r="BO154" s="12" t="str"/>
      <x:c r="BP154" s="12" t="str"/>
      <x:c r="BQ154" s="12" t="str"/>
    </x:row>
    <x:row r="155">
      <x:c r="A155" s="9" t="str">
        <x:v>cdi-10</x:v>
      </x:c>
      <x:c r="B155" s="9" t="str">
        <x:v>brain-dead-13</x:v>
      </x:c>
      <x:c r="C155" s="9" t="str">
        <x:v>Philips CD-i</x:v>
      </x:c>
      <x:c r="D155" s="9" t="str">
        <x:v>Brain Dead 13</x:v>
      </x:c>
      <x:c r="E155" s="9" t="str"/>
      <x:c r="F155" s="9" t="str">
        <x:v>ReadySoft; CD-i conversion by International Creative Digital Image (ICDI)</x:v>
      </x:c>
      <x:c r="G155" s="9" t="str">
        <x:v>Philips Interactive Media (EU)</x:v>
      </x:c>
      <x:c r="H155" s="9" t="n">
        <x:v>1997</x:v>
      </x:c>
      <x:c r="I155" s="9" t="str">
        <x:v>No</x:v>
      </x:c>
      <x:c r="J155" s="9" t="str">
        <x:v>No</x:v>
      </x:c>
      <x:c r="K155" s="9" t="str">
        <x:v>Yes</x:v>
      </x:c>
      <x:c r="L155" s="9" t="str">
        <x:v>No</x:v>
      </x:c>
      <x:c r="M155" s="9" t="str">
        <x:v>Interactive cartoon (QTE/exploration)</x:v>
      </x:c>
      <x:c r="N155" s="9" t="str">
        <x:v>Animated</x:v>
      </x:c>
      <x:c r="O155" s="9" t="n">
        <x:v>10</x:v>
      </x:c>
      <x:c r="P155" s="9" t="str">
        <x:v>FMV adventure</x:v>
      </x:c>
      <x:c r="Q155" s="9" t="str">
        <x:v>Released</x:v>
      </x:c>
      <x:c r="R155" s="9" t="str">
        <x:v>Original production (ReadySoft, 1995, DOS first)</x:v>
      </x:c>
      <x:c r="S155" s="9" t="str">
        <x:v>DOS, Windows, Mac, 3DO, PlayStation, Saturn, Jaguar CD, iOS</x:v>
      </x:c>
      <x:c r="T155" s="9" t="str">
        <x:v>Voices: Riccardo Durante (Lance), Dave Quesnelle (Dr. Neurosis), Joe Giampapa (Fritz), June Brown (Vivi), Blayne Burnside (Moose)</x:v>
      </x:c>
      <x:c r="U155" s="9" t="n">
        <x:v>1</x:v>
      </x:c>
      <x:c r="V155" s="9" t="str">
        <x:v>Yes</x:v>
      </x:c>
      <x:c r="W155" s="9" t="str">
        <x:v>Digital Video Cartridge required (The World of CD-i). Standard CD-i pad/thumbstick; no light gun.</x:v>
      </x:c>
      <x:c r="X155" s="9" t="str">
        <x:v>Low</x:v>
      </x:c>
      <x:c r="Y155" s="9" t="str"/>
      <x:c r="Z155" s="9" t="str">
        <x:v>30–60 min</x:v>
      </x:c>
      <x:c r="AA155" s="9" t="str">
        <x:v>One of the very last CD-i games: a Europe-only 1997 port of ReadySoft's Toronto-made cartoon with Fritz the deranged mascot.</x:v>
      </x:c>
      <x:c r="AB155" s="9" t="str">
        <x:v>None known</x:v>
      </x:c>
      <x:c r="AC155" s="9" t="str">
        <x:v>Full-screen MPEG-1 via the Digital Video Cartridge at the standard MPEG-1 size, 352×240 at 30 fps (NTSC) or 352×288 at 25 fps (PAL).</x:v>
      </x:c>
      <x:c r="AD155" s="9" t="str">
        <x:v>Hard; trial-and-error death scenes</x:v>
      </x:c>
      <x:c r="AE155" s="9" t="str">
        <x:v>Non-linear castle exploration; one ending (defeat Dr. Neurosis)</x:v>
      </x:c>
      <x:c r="AF155" s="9" t="str">
        <x:v>Converted by ICDI, the Belgian studio behind the CD-i Dragon's Lair, and released exclusively in Europe in 1997.</x:v>
      </x:c>
      <x:c r="AG155" s="9" t="str">
        <x:v>EU only</x:v>
      </x:c>
      <x:c r="AH155" s="9" t="str">
        <x:v>No verified current digital sale; historical iOS edition and original discs.</x:v>
      </x:c>
      <x:c r="AI155" s="9" t="str">
        <x:v>Add-on required</x:v>
      </x:c>
      <x:c r="AJ155" s="9"/>
      <x:c r="AK155" s="9" t="str">
        <x:v>Single disc on CD-i (The World of CD-i). Black Moon Project-era late release; Europe only.</x:v>
      </x:c>
      <x:c r="AL155" s="10" t="n">
        <x:v>83.21</x:v>
      </x:c>
      <x:c r="AM155" s="10" t="n">
        <x:v>90.46</x:v>
      </x:c>
      <x:c r="AN155" s="10" t="n">
        <x:v>181</x:v>
      </x:c>
      <x:c r="AO155" s="9" t="str">
        <x:v>2026-10-20</x:v>
      </x:c>
      <x:c r="AP155" s="11" t="str">
        <x:f>HYPERLINK("https://www.pricecharting.com/game/cd-i/braindead-13","PriceCharting")</x:f>
        <x:v>PriceCharting</x:v>
      </x:c>
      <x:c r="AQ155" s="9"/>
      <x:c r="AR155" s="9"/>
      <x:c r="AS155" s="9"/>
      <x:c r="AT155" s="9"/>
      <x:c r="AU155" s="9"/>
      <x:c r="AV155" s="9"/>
      <x:c r="AW155" s="9"/>
      <x:c r="AX155" s="9"/>
      <x:c r="AY155" s="9"/>
      <x:c r="AZ155" s="9" t="str">
        <x:v>5.0</x:v>
      </x:c>
      <x:c r="BA155" s="11" t="str">
        <x:f>HYPERLINK("https://www.mobygames.com/game/2083/brain-dead-13/","MobyGames")</x:f>
        <x:v>MobyGames</x:v>
      </x:c>
      <x:c r="BB155" s="9"/>
      <x:c r="BC155" s="9"/>
      <x:c r="BD155" s="9"/>
      <x:c r="BE155" s="11" t="str">
        <x:f>HYPERLINK("https://en.wikipedia.org/wiki/Brain_Dead_13","Wikipedia")</x:f>
        <x:v>Wikipedia</x:v>
      </x:c>
      <x:c r="BF155" s="11" t="str">
        <x:f>HYPERLINK("https://backloggd.com/search/games/Brain%20Dead%2013/","Backloggd")</x:f>
        <x:v>Backloggd</x:v>
      </x:c>
      <x:c r="BG155" s="9"/>
      <x:c r="BH155" s="9"/>
      <x:c r="BI155" s="12" t="str">
        <x:v>No</x:v>
      </x:c>
      <x:c r="BJ155" s="12" t="str"/>
      <x:c r="BK155" s="12" t="str">
        <x:v>No</x:v>
      </x:c>
      <x:c r="BL155" s="12" t="str"/>
      <x:c r="BM155" s="12" t="str"/>
      <x:c r="BN155" s="12" t="str"/>
      <x:c r="BO155" s="12" t="str"/>
      <x:c r="BP155" s="12" t="str"/>
      <x:c r="BQ155" s="12" t="str"/>
    </x:row>
    <x:row r="156">
      <x:c r="A156" s="9" t="str">
        <x:v>cdi-11</x:v>
      </x:c>
      <x:c r="B156" s="9" t="str">
        <x:v>mystic-midway-rest-in-pieces</x:v>
      </x:c>
      <x:c r="C156" s="9" t="str">
        <x:v>Philips CD-i</x:v>
      </x:c>
      <x:c r="D156" s="9" t="str">
        <x:v>Mystic Midway: Rest in Pieces</x:v>
      </x:c>
      <x:c r="E156" s="9" t="str"/>
      <x:c r="F156" s="9" t="str">
        <x:v>Philips P.O.V. Entertainment Group</x:v>
      </x:c>
      <x:c r="G156" s="9" t="str">
        <x:v>Philips Interactive Media</x:v>
      </x:c>
      <x:c r="H156" s="9" t="n">
        <x:v>1992</x:v>
      </x:c>
      <x:c r="I156" s="9" t="str">
        <x:v>Yes</x:v>
      </x:c>
      <x:c r="J156" s="9" t="str">
        <x:v>No</x:v>
      </x:c>
      <x:c r="K156" s="9" t="str">
        <x:v>Yes</x:v>
      </x:c>
      <x:c r="L156" s="9" t="str">
        <x:v>No</x:v>
      </x:c>
      <x:c r="M156" s="9" t="str">
        <x:v>Shooting gallery</x:v>
      </x:c>
      <x:c r="N156" s="9" t="str">
        <x:v>Live-action + CG</x:v>
      </x:c>
      <x:c r="O156" s="9" t="n">
        <x:v>5</x:v>
      </x:c>
      <x:c r="P156" s="9" t="str">
        <x:v>Interactive movie</x:v>
      </x:c>
      <x:c r="Q156" s="9" t="str">
        <x:v>Released</x:v>
      </x:c>
      <x:c r="R156" s="9" t="str">
        <x:v>Original production (CD-i first)</x:v>
      </x:c>
      <x:c r="S156" s="9" t="str">
        <x:v>MS-DOS (1994)</x:v>
      </x:c>
      <x:c r="T156" s="9" t="str">
        <x:v>Host Dr. Dearth (sarcastic ghost theme-park owner) — actor uncredited, verify</x:v>
      </x:c>
      <x:c r="U156" s="9" t="n">
        <x:v>1</x:v>
      </x:c>
      <x:c r="V156" s="9" t="str">
        <x:v>No</x:v>
      </x:c>
      <x:c r="W156" s="9" t="str">
        <x:v>Digital Video Cartridge not used (The World of CD-i). Gamepad listed; trackball or mouse also move the gun emplacement.</x:v>
      </x:c>
      <x:c r="X156" s="9" t="str">
        <x:v>Low</x:v>
      </x:c>
      <x:c r="Y156" s="9" t="str"/>
      <x:c r="Z156" s="9" t="str">
        <x:v>30–60 min</x:v>
      </x:c>
      <x:c r="AA156" s="9" t="str">
        <x:v>A haunted-carnival shooting gallery hosted by a wisecracking live-action ghost, made before CD-i had MPEG video.</x:v>
      </x:c>
      <x:c r="AB156" s="9" t="str">
        <x:v>None known</x:v>
      </x:c>
      <x:c r="AC156" s="9" t="str">
        <x:v>Native CD-i (DYUV/RL7) partial-motion video clips and animated backgrounds, no MPEG — verify sizes/frame rate</x:v>
      </x:c>
      <x:c r="AD156" s="9" t="str">
        <x:v>Moderate</x:v>
      </x:c>
      <x:c r="AE156" s="9" t="str">
        <x:v>Single path through carnival attractions; host comments after each level</x:v>
      </x:c>
      <x:c r="AF156" s="9" t="str">
        <x:v>One of Philips' own 1992 launch-era games from its P.O.V. studio; a sequel, Phantom Express, followed.</x:v>
      </x:c>
      <x:c r="AG156" s="9" t="str">
        <x:v>US cat. 310690152-2; case dated 1991 though released 1992 (World of CD-i)</x:v>
      </x:c>
      <x:c r="AH156" s="9" t="str">
        <x:v>No</x:v>
      </x:c>
      <x:c r="AI156" s="9" t="str">
        <x:v>Easy</x:v>
      </x:c>
      <x:c r="AJ156" s="9"/>
      <x:c r="AK156" s="9" t="str">
        <x:v>fmv score and fmvType are estimates — confirm how much is streamed video vs. still/animated graphics. EU release assumed (verify).</x:v>
      </x:c>
      <x:c r="AL156" s="10" t="n">
        <x:v>9.48</x:v>
      </x:c>
      <x:c r="AM156" s="10" t="n">
        <x:v>19.02</x:v>
      </x:c>
      <x:c r="AN156" s="10" t="n">
        <x:v>15</x:v>
      </x:c>
      <x:c r="AO156" s="9" t="str">
        <x:v>2026-10-20</x:v>
      </x:c>
      <x:c r="AP156" s="11" t="str">
        <x:f>HYPERLINK("https://www.pricecharting.com/game/cd-i/mystic-midway-rest-in-pieces","PriceCharting")</x:f>
        <x:v>PriceCharting</x:v>
      </x:c>
      <x:c r="AQ156" s="9"/>
      <x:c r="AR156" s="9"/>
      <x:c r="AS156" s="9"/>
      <x:c r="AT156" s="9"/>
      <x:c r="AU156" s="9"/>
      <x:c r="AV156" s="9"/>
      <x:c r="AW156" s="9"/>
      <x:c r="AX156" s="9"/>
      <x:c r="AY156" s="9"/>
      <x:c r="AZ156" s="9"/>
      <x:c r="BA156" s="11" t="str">
        <x:f>HYPERLINK("https://www.mobygames.com/game/20376/mystic-midway-rest-in-pieces/","MobyGames")</x:f>
        <x:v>MobyGames</x:v>
      </x:c>
      <x:c r="BB156" s="9"/>
      <x:c r="BC156" s="9"/>
      <x:c r="BD156" s="9"/>
      <x:c r="BE156" s="11" t="str">
        <x:f>HYPERLINK("https://en.wikipedia.org/wiki/Mystic_Midway:_Rest_in_Pieces","Wikipedia")</x:f>
        <x:v>Wikipedia</x:v>
      </x:c>
      <x:c r="BF156" s="11" t="str">
        <x:f>HYPERLINK("https://backloggd.com/search/games/Mystic%20Midway%3A%20Rest%20in%20Pieces/","Backloggd")</x:f>
        <x:v>Backloggd</x:v>
      </x:c>
      <x:c r="BG156" s="9"/>
      <x:c r="BH156" s="9"/>
      <x:c r="BI156" s="12" t="str">
        <x:v>No</x:v>
      </x:c>
      <x:c r="BJ156" s="12" t="str"/>
      <x:c r="BK156" s="12" t="str">
        <x:v>No</x:v>
      </x:c>
      <x:c r="BL156" s="12" t="str"/>
      <x:c r="BM156" s="12" t="str"/>
      <x:c r="BN156" s="12" t="str"/>
      <x:c r="BO156" s="12" t="str"/>
      <x:c r="BP156" s="12" t="str"/>
      <x:c r="BQ156" s="12" t="str"/>
    </x:row>
    <x:row r="157">
      <x:c r="A157" s="9" t="str">
        <x:v>cdi-12</x:v>
      </x:c>
      <x:c r="B157" s="9" t="str">
        <x:v>mystic-midway-phantom-express</x:v>
      </x:c>
      <x:c r="C157" s="9" t="str">
        <x:v>Philips CD-i</x:v>
      </x:c>
      <x:c r="D157" s="9" t="str">
        <x:v>Mystic Midway: Phantom Express</x:v>
      </x:c>
      <x:c r="E157" s="9" t="str"/>
      <x:c r="F157" s="9" t="str">
        <x:v>Philips P.O.V. Entertainment Group</x:v>
      </x:c>
      <x:c r="G157" s="9" t="str">
        <x:v>Philips Interactive Media</x:v>
      </x:c>
      <x:c r="H157" s="9" t="n">
        <x:v>1993</x:v>
      </x:c>
      <x:c r="I157" s="9" t="str">
        <x:v>Yes</x:v>
      </x:c>
      <x:c r="J157" s="9" t="str">
        <x:v>No</x:v>
      </x:c>
      <x:c r="K157" s="9" t="str">
        <x:v>Yes</x:v>
      </x:c>
      <x:c r="L157" s="9" t="str">
        <x:v>No</x:v>
      </x:c>
      <x:c r="M157" s="9" t="str">
        <x:v>Rail shooter</x:v>
      </x:c>
      <x:c r="N157" s="9" t="str">
        <x:v>Live-action + CG</x:v>
      </x:c>
      <x:c r="O157" s="9" t="n">
        <x:v>7</x:v>
      </x:c>
      <x:c r="P157" s="9" t="str">
        <x:v>Interactive movie</x:v>
      </x:c>
      <x:c r="Q157" s="9" t="str">
        <x:v>Released</x:v>
      </x:c>
      <x:c r="R157" s="9" t="str">
        <x:v>Original production (CD-i)</x:v>
      </x:c>
      <x:c r="S157" s="9" t="str">
        <x:v>—</x:v>
      </x:c>
      <x:c r="T157" s="9" t="str">
        <x:v>Dr. Dearth returns as host — actor uncredited, verify</x:v>
      </x:c>
      <x:c r="U157" s="9" t="n">
        <x:v>1</x:v>
      </x:c>
      <x:c r="V157" s="9" t="str">
        <x:v>No</x:v>
      </x:c>
      <x:c r="W157" s="9" t="str">
        <x:v>Digital Video Cartridge not used (The World of CD-i). Gamepad listed; mouse or trackball also work.</x:v>
      </x:c>
      <x:c r="X157" s="9" t="str">
        <x:v>Low</x:v>
      </x:c>
      <x:c r="Y157" s="9" t="str"/>
      <x:c r="Z157" s="9" t="str">
        <x:v>30–60 min</x:v>
      </x:c>
      <x:c r="AA157" s="9" t="str">
        <x:v>Ride a haunted rollercoaster through the carnival afterlife and shoot everything that pops up, CD-i style.</x:v>
      </x:c>
      <x:c r="AB157" s="9" t="str">
        <x:v>None known</x:v>
      </x:c>
      <x:c r="AC157" s="9" t="str">
        <x:v>Native CD-i motion video of the coaster ride, no MPEG — verify size/frame rate</x:v>
      </x:c>
      <x:c r="AD157" s="9" t="str">
        <x:v>Moderate</x:v>
      </x:c>
      <x:c r="AE157" s="9" t="str">
        <x:v>Single rollercoaster route; score-based</x:v>
      </x:c>
      <x:c r="AF157" s="9" t="str">
        <x:v>Sequel to Rest in Pieces; Wikipedia dates it 1993 while the Centre for Computing History says 1992.</x:v>
      </x:c>
      <x:c r="AG157" s="9" t="str">
        <x:v>Unknown — verify</x:v>
      </x:c>
      <x:c r="AH157" s="9" t="str">
        <x:v>No</x:v>
      </x:c>
      <x:c r="AI157" s="9" t="str">
        <x:v>Easy</x:v>
      </x:c>
      <x:c r="AJ157" s="9"/>
      <x:c r="AK157" s="9" t="str">
        <x:v>Year conflict 1992/1993. fmv score is an estimate. EU release assumed (verify).</x:v>
      </x:c>
      <x:c r="AL157" s="10" t="n">
        <x:v>10</x:v>
      </x:c>
      <x:c r="AM157" s="10" t="n">
        <x:v>14.05</x:v>
      </x:c>
      <x:c r="AN157" s="10" t="n">
        <x:v>28.65</x:v>
      </x:c>
      <x:c r="AO157" s="9" t="str">
        <x:v>2026-10-20</x:v>
      </x:c>
      <x:c r="AP157" s="11" t="str">
        <x:f>HYPERLINK("https://www.pricecharting.com/game/cd-i/mystic-midway-phantom-express","PriceCharting")</x:f>
        <x:v>PriceCharting</x:v>
      </x:c>
      <x:c r="AQ157" s="9"/>
      <x:c r="AR157" s="9"/>
      <x:c r="AS157" s="9"/>
      <x:c r="AT157" s="9"/>
      <x:c r="AU157" s="9"/>
      <x:c r="AV157" s="9"/>
      <x:c r="AW157" s="9"/>
      <x:c r="AX157" s="9"/>
      <x:c r="AY157" s="9"/>
      <x:c r="AZ157" s="9" t="str">
        <x:v>4.0</x:v>
      </x:c>
      <x:c r="BA157" s="11" t="str">
        <x:f>HYPERLINK("https://www.mobygames.com/game/39752/mystic-midway-phantom-express/","MobyGames")</x:f>
        <x:v>MobyGames</x:v>
      </x:c>
      <x:c r="BB157" s="9"/>
      <x:c r="BC157" s="9"/>
      <x:c r="BD157" s="9"/>
      <x:c r="BE157" s="11" t="str">
        <x:f>HYPERLINK("https://en.wikipedia.org/wiki/Phantom_Express","Wikipedia")</x:f>
        <x:v>Wikipedia</x:v>
      </x:c>
      <x:c r="BF157" s="11" t="str">
        <x:f>HYPERLINK("https://backloggd.com/search/games/Mystic%20Midway%3A%20Phantom%20Express/","Backloggd")</x:f>
        <x:v>Backloggd</x:v>
      </x:c>
      <x:c r="BG157" s="9"/>
      <x:c r="BH157" s="9"/>
      <x:c r="BI157" s="12" t="str">
        <x:v>No</x:v>
      </x:c>
      <x:c r="BJ157" s="12" t="str"/>
      <x:c r="BK157" s="12" t="str">
        <x:v>No</x:v>
      </x:c>
      <x:c r="BL157" s="12" t="str"/>
      <x:c r="BM157" s="12" t="str"/>
      <x:c r="BN157" s="12" t="str"/>
      <x:c r="BO157" s="12" t="str"/>
      <x:c r="BP157" s="12" t="str"/>
      <x:c r="BQ157" s="12" t="str"/>
    </x:row>
    <x:row r="158">
      <x:c r="A158" s="9" t="str">
        <x:v>cdi-13</x:v>
      </x:c>
      <x:c r="B158" s="9" t="str">
        <x:v>thayers-quest</x:v>
      </x:c>
      <x:c r="C158" s="9" t="str">
        <x:v>Philips CD-i</x:v>
      </x:c>
      <x:c r="D158" s="9" t="str">
        <x:v>Kingdom: The Far Reaches</x:v>
      </x:c>
      <x:c r="E158" s="9" t="str"/>
      <x:c r="F158" s="9" t="str">
        <x:v>Virtual Image Productions (Rick Dyer); CD-i conversion by CapDisc (per The World of CD-i)</x:v>
      </x:c>
      <x:c r="G158" s="9" t="str">
        <x:v>Philips Media</x:v>
      </x:c>
      <x:c r="H158" s="9" t="n">
        <x:v>1995</x:v>
      </x:c>
      <x:c r="I158" s="9" t="str">
        <x:v>Yes</x:v>
      </x:c>
      <x:c r="J158" s="9" t="str">
        <x:v>No</x:v>
      </x:c>
      <x:c r="K158" s="9" t="str">
        <x:v>Yes</x:v>
      </x:c>
      <x:c r="L158" s="9" t="str">
        <x:v>No</x:v>
      </x:c>
      <x:c r="M158" s="9" t="str">
        <x:v>Animated adventure</x:v>
      </x:c>
      <x:c r="N158" s="9" t="str">
        <x:v>Animated</x:v>
      </x:c>
      <x:c r="O158" s="9" t="n">
        <x:v>10</x:v>
      </x:c>
      <x:c r="P158" s="9" t="str">
        <x:v>Laserdisc port</x:v>
      </x:c>
      <x:c r="Q158" s="9" t="str">
        <x:v>Released</x:v>
      </x:c>
      <x:c r="R158" s="9" t="str">
        <x:v>Thayer's Quest laserdisc game (RDI, 1984) re-edited with new voice-over, renamed characters and added animation</x:v>
      </x:c>
      <x:c r="S158" s="9" t="str">
        <x:v>3DO, DOS, Mac; PC version on GOG/Epic</x:v>
      </x:c>
      <x:c r="T158" s="9" t="str">
        <x:v>Voice cast undocumented — verify; creator Rick Dyer</x:v>
      </x:c>
      <x:c r="U158" s="9" t="n">
        <x:v>1</x:v>
      </x:c>
      <x:c r="V158" s="9" t="str">
        <x:v>Unknown — verify</x:v>
      </x:c>
      <x:c r="W158" s="9" t="str">
        <x:v>CD-i Digital Video Cartridge (DVC/MPEG card) REQUIRED (per The World of CD-i). Standard CD-i pad/thumbstick or mouse; no light gun.</x:v>
      </x:c>
      <x:c r="X158" s="9" t="str">
        <x:v>Low</x:v>
      </x:c>
      <x:c r="Y158" s="9" t="str">
        <x:v>Original score; no licensed material</x:v>
      </x:c>
      <x:c r="Z158" s="9" t="str">
        <x:v>0.5–2 hr</x:v>
      </x:c>
      <x:c r="AA158" s="9" t="str">
        <x:v>A 1984 laserdisc fantasy cartoon resurrected as a point-and-click where one wrong item can doom the run — Dragon's Lair's forgotten cousin.</x:v>
      </x:c>
      <x:c r="AB158" s="9" t="str">
        <x:v>None known</x:v>
      </x:c>
      <x:c r="AC158" s="9" t="str">
        <x:v>Full-screen MPEG-1 via the Digital Video Cartridge at the standard MPEG-1 size, 352×240 at 30 fps (NTSC) or 352×288 at 25 fps (PAL).</x:v>
      </x:c>
      <x:c r="AD158" s="9" t="str">
        <x:v>High trial-and-error; limited lives and unwinnable states</x:v>
      </x:c>
      <x:c r="AE158" s="9" t="str">
        <x:v>Branching paths; one true ending plus many death animations</x:v>
      </x:c>
      <x:c r="AF158" s="9" t="str">
        <x:v>Thayer became Lathan Kandor and villain Sorsabal became Torlock; Rick Dyer reportedly thought the old names were 'too 70s'.</x:v>
      </x:c>
      <x:c r="AG158" s="9" t="str">
        <x:v>EU cat. 8100252 and US cat. 310690262-2 (World of CD-i)</x:v>
      </x:c>
      <x:c r="AH158" s="9" t="str">
        <x:v>Yes (PC version on GOG and Epic; CD-i version not re-released)</x:v>
      </x:c>
      <x:c r="AI158" s="9" t="str">
        <x:v>Add-on required</x:v>
      </x:c>
      <x:c r="AJ158" s="9"/>
      <x:c r="AK158" s="9" t="str">
        <x:v>CD-i 1995, released in Europe and the USA (The World of CD-i).</x:v>
      </x:c>
      <x:c r="AL158" s="10" t="n">
        <x:v>16.09</x:v>
      </x:c>
      <x:c r="AM158" s="10" t="n">
        <x:v>36</x:v>
      </x:c>
      <x:c r="AN158" s="10" t="n">
        <x:v>39.25</x:v>
      </x:c>
      <x:c r="AO158" s="9" t="str">
        <x:v>2026-10-20</x:v>
      </x:c>
      <x:c r="AP158" s="11" t="str">
        <x:f>HYPERLINK("https://www.pricecharting.com/game/cd-i/kingdom-the-far-reaches","PriceCharting")</x:f>
        <x:v>PriceCharting</x:v>
      </x:c>
      <x:c r="AQ158" s="9"/>
      <x:c r="AR158" s="9"/>
      <x:c r="AS158" s="9"/>
      <x:c r="AT158" s="9"/>
      <x:c r="AU158" s="9"/>
      <x:c r="AV158" s="9"/>
      <x:c r="AW158" s="9"/>
      <x:c r="AX158" s="9"/>
      <x:c r="AY158" s="9"/>
      <x:c r="AZ158" s="9"/>
      <x:c r="BA158" s="11" t="str">
        <x:f>HYPERLINK("https://www.mobygames.com/game/4788","MobyGames")</x:f>
        <x:v>MobyGames</x:v>
      </x:c>
      <x:c r="BB158" s="9" t="str">
        <x:v>86%</x:v>
      </x:c>
      <x:c r="BC158" s="9" t="str">
        <x:v>average of 1 review on Wikipedia (CD-i)</x:v>
      </x:c>
      <x:c r="BD158" s="9" t="str">
        <x:f>HYPERLINK("https://en.wikipedia.org/wiki/Thayer%27s_Quest","Source")</x:f>
        <x:v>Source</x:v>
      </x:c>
      <x:c r="BE158" s="11" t="str">
        <x:f>HYPERLINK("https://en.wikipedia.org/wiki/Thayer%27s_Quest","Wikipedia")</x:f>
        <x:v>Wikipedia</x:v>
      </x:c>
      <x:c r="BF158" s="11" t="str">
        <x:f>HYPERLINK("https://backloggd.com/search/games/Kingdom%3A%20The%20Far%20Reaches/","Backloggd")</x:f>
        <x:v>Backloggd</x:v>
      </x:c>
      <x:c r="BG158" s="9"/>
      <x:c r="BH158" s="9"/>
      <x:c r="BI158" s="12" t="str">
        <x:v>No</x:v>
      </x:c>
      <x:c r="BJ158" s="12" t="str"/>
      <x:c r="BK158" s="12" t="str">
        <x:v>No</x:v>
      </x:c>
      <x:c r="BL158" s="12" t="str"/>
      <x:c r="BM158" s="12" t="str"/>
      <x:c r="BN158" s="12" t="str"/>
      <x:c r="BO158" s="12" t="str"/>
      <x:c r="BP158" s="12" t="str"/>
      <x:c r="BQ158" s="12" t="str"/>
    </x:row>
    <x:row r="159">
      <x:c r="A159" s="9" t="str">
        <x:v>cdi-14</x:v>
      </x:c>
      <x:c r="B159" s="9" t="str">
        <x:v>kingdom-ii-shadoan</x:v>
      </x:c>
      <x:c r="C159" s="9" t="str">
        <x:v>Philips CD-i</x:v>
      </x:c>
      <x:c r="D159" s="9" t="str">
        <x:v>Kingdom II: Shadoan</x:v>
      </x:c>
      <x:c r="E159" s="9" t="str">
        <x:v>Shadoan</x:v>
      </x:c>
      <x:c r="F159" s="9" t="str">
        <x:v>Virtual Image Productions; CD-i conversion by CapDisc (per The World of CD-i)</x:v>
      </x:c>
      <x:c r="G159" s="9" t="str">
        <x:v>Philips Media</x:v>
      </x:c>
      <x:c r="H159" s="9" t="n">
        <x:v>1996</x:v>
      </x:c>
      <x:c r="I159" s="9" t="str">
        <x:v>Yes</x:v>
      </x:c>
      <x:c r="J159" s="9" t="str">
        <x:v>No</x:v>
      </x:c>
      <x:c r="K159" s="9" t="str">
        <x:v>Yes</x:v>
      </x:c>
      <x:c r="L159" s="9" t="str">
        <x:v>No</x:v>
      </x:c>
      <x:c r="M159" s="9" t="str">
        <x:v>Animated adventure</x:v>
      </x:c>
      <x:c r="N159" s="9" t="str">
        <x:v>Animated</x:v>
      </x:c>
      <x:c r="O159" s="9" t="n">
        <x:v>10</x:v>
      </x:c>
      <x:c r="P159" s="9" t="str">
        <x:v>FMV adventure</x:v>
      </x:c>
      <x:c r="Q159" s="9" t="str">
        <x:v>Released</x:v>
      </x:c>
      <x:c r="R159" s="9" t="str">
        <x:v>Original production (Virtual Image Productions, 1996; PC and CD-i)</x:v>
      </x:c>
      <x:c r="S159" s="9" t="str">
        <x:v>DOS, Mac, Windows, DVD (2000), PS2-compatible DVD release; PC on GOG</x:v>
      </x:c>
      <x:c r="T159" s="9" t="str">
        <x:v>Voice cast undocumented — verify</x:v>
      </x:c>
      <x:c r="U159" s="9" t="n">
        <x:v>1</x:v>
      </x:c>
      <x:c r="V159" s="9" t="str">
        <x:v>Unknown — verify</x:v>
      </x:c>
      <x:c r="W159" s="9" t="str">
        <x:v>CD-i Digital Video Cartridge (DVC/MPEG card) REQUIRED (per The World of CD-i). Standard CD-i pad/thumbstick or mouse; no light gun.</x:v>
      </x:c>
      <x:c r="X159" s="9" t="str">
        <x:v>Low</x:v>
      </x:c>
      <x:c r="Y159" s="9" t="str">
        <x:v>Original score; no licensed material</x:v>
      </x:c>
      <x:c r="Z159" s="9" t="str">
        <x:v>1–3 hr</x:v>
      </x:c>
      <x:c r="AA159" s="9" t="str">
        <x:v>A $3 million hand-drawn cartoon adventure with 300+ animators, released on CD-i as the platform was winding down.</x:v>
      </x:c>
      <x:c r="AB159" s="9" t="str">
        <x:v>None known</x:v>
      </x:c>
      <x:c r="AC159" s="9" t="str">
        <x:v>Full-screen MPEG-1 via the Digital Video Cartridge at the standard MPEG-1 size, 352×240 at 30 fps (NTSC) or 352×288 at 25 fps (PAL).</x:v>
      </x:c>
      <x:c r="AD159" s="9" t="str">
        <x:v>Moderate-high; trial-and-error with death scenes</x:v>
      </x:c>
      <x:c r="AE159" s="9" t="str">
        <x:v>Branching paths; one ending (recover the last two relic pieces)</x:v>
      </x:c>
      <x:c r="AF159" s="9" t="str">
        <x:v>Reportedly made in nine months on a budget of over $3 million with more than 300 animators; a third Kingdom game never followed.</x:v>
      </x:c>
      <x:c r="AG159" s="9" t="str">
        <x:v>EU cat. 8100280 (World of CD-i); US release by Philips Interactive Media, catalogue number not confirmed (verify)</x:v>
      </x:c>
      <x:c r="AH159" s="9" t="str">
        <x:v>Yes (PC version on GOG; DVD-video version from 2000)</x:v>
      </x:c>
      <x:c r="AI159" s="9" t="str">
        <x:v>Add-on required</x:v>
      </x:c>
      <x:c r="AJ159" s="9"/>
      <x:c r="AK159" s="9" t="str">
        <x:v>CD-i 1996, single disc (The World of CD-i). The World of CD-i lists only a European catalogue number, so the NA release is unconfirmed.</x:v>
      </x:c>
      <x:c r="AL159" s="10" t="n">
        <x:v>29.49</x:v>
      </x:c>
      <x:c r="AM159" s="10" t="n">
        <x:v>31</x:v>
      </x:c>
      <x:c r="AN159" s="10" t="n">
        <x:v>62</x:v>
      </x:c>
      <x:c r="AO159" s="9" t="str">
        <x:v>2026-10-20</x:v>
      </x:c>
      <x:c r="AP159" s="11" t="str">
        <x:f>HYPERLINK("https://www.pricecharting.com/game/cd-i/kingdom-ii-shadoan","PriceCharting")</x:f>
        <x:v>PriceCharting</x:v>
      </x:c>
      <x:c r="AQ159" s="9"/>
      <x:c r="AR159" s="9"/>
      <x:c r="AS159" s="9"/>
      <x:c r="AT159" s="9"/>
      <x:c r="AU159" s="9"/>
      <x:c r="AV159" s="9"/>
      <x:c r="AW159" s="9"/>
      <x:c r="AX159" s="9"/>
      <x:c r="AY159" s="9"/>
      <x:c r="AZ159" s="9"/>
      <x:c r="BA159" s="11" t="str">
        <x:f>HYPERLINK("https://mobygames.com/game/6945/kingdom-ii-shadoan","MobyGames")</x:f>
        <x:v>MobyGames</x:v>
      </x:c>
      <x:c r="BB159" s="9"/>
      <x:c r="BC159" s="9"/>
      <x:c r="BD159" s="9"/>
      <x:c r="BE159" s="11" t="str">
        <x:f>HYPERLINK("https://en.wikipedia.org/wiki/Kingdom_II:_Shadoan","Wikipedia")</x:f>
        <x:v>Wikipedia</x:v>
      </x:c>
      <x:c r="BF159" s="11" t="str">
        <x:f>HYPERLINK("https://backloggd.com/search/games/Kingdom%20II%3A%20Shadoan/","Backloggd")</x:f>
        <x:v>Backloggd</x:v>
      </x:c>
      <x:c r="BG159" s="9"/>
      <x:c r="BH159" s="9"/>
      <x:c r="BI159" s="12" t="str">
        <x:v>No</x:v>
      </x:c>
      <x:c r="BJ159" s="12" t="str"/>
      <x:c r="BK159" s="12" t="str">
        <x:v>No</x:v>
      </x:c>
      <x:c r="BL159" s="12" t="str"/>
      <x:c r="BM159" s="12" t="str"/>
      <x:c r="BN159" s="12" t="str"/>
      <x:c r="BO159" s="12" t="str"/>
      <x:c r="BP159" s="12" t="str"/>
      <x:c r="BQ159" s="12" t="str"/>
    </x:row>
    <x:row r="160">
      <x:c r="A160" s="9" t="str">
        <x:v>cdi-15</x:v>
      </x:c>
      <x:c r="B160" s="9" t="str">
        <x:v>burn-cycle</x:v>
      </x:c>
      <x:c r="C160" s="9" t="str">
        <x:v>Philips CD-i</x:v>
      </x:c>
      <x:c r="D160" s="9" t="str">
        <x:v>Burn:Cycle</x:v>
      </x:c>
      <x:c r="E160" s="9" t="str">
        <x:v>Burn Cycle</x:v>
      </x:c>
      <x:c r="F160" s="9" t="str">
        <x:v>TripMedia</x:v>
      </x:c>
      <x:c r="G160" s="9" t="str">
        <x:v>Philips Interactive Media (NA/EU)</x:v>
      </x:c>
      <x:c r="H160" s="9" t="n">
        <x:v>1994</x:v>
      </x:c>
      <x:c r="I160" s="9" t="str">
        <x:v>Yes</x:v>
      </x:c>
      <x:c r="J160" s="9" t="str">
        <x:v>No</x:v>
      </x:c>
      <x:c r="K160" s="9" t="str">
        <x:v>Yes</x:v>
      </x:c>
      <x:c r="L160" s="9" t="str">
        <x:v>No</x:v>
      </x:c>
      <x:c r="M160" s="9" t="str">
        <x:v>Cyberpunk point-and-click adventure</x:v>
      </x:c>
      <x:c r="N160" s="9" t="str">
        <x:v>Live-action + CG</x:v>
      </x:c>
      <x:c r="O160" s="9" t="n">
        <x:v>7</x:v>
      </x:c>
      <x:c r="P160" s="9" t="str">
        <x:v>FMV adventure</x:v>
      </x:c>
      <x:c r="Q160" s="9" t="str">
        <x:v>Released</x:v>
      </x:c>
      <x:c r="R160" s="9" t="str">
        <x:v>Original production for CD-i</x:v>
      </x:c>
      <x:c r="S160" s="9" t="str">
        <x:v>Windows/Mac (1995); announced Saturn and PlayStation ports were never released</x:v>
      </x:c>
      <x:c r="T160" s="9" t="str">
        <x:v>Aaron Swartz (Sol Cutter), Tanya Pohlkotte (female Cutter), Abigail Canton (Gala), Richard Hanson (Zip) (per MobyGames CD-i credits)</x:v>
      </x:c>
      <x:c r="U160" s="9" t="n">
        <x:v>1</x:v>
      </x:c>
      <x:c r="V160" s="9" t="str">
        <x:v>Yes</x:v>
      </x:c>
      <x:c r="W160" s="9" t="str">
        <x:v>CD-i Digital Video Cartridge: not used (a 1995 Interactive Engineer article says it runs without an MPEG adapter, using base-case video planes over stills). Standard CD-i controller/thumbstick or mouse.</x:v>
      </x:c>
      <x:c r="X160" s="9" t="str">
        <x:v>Low–Med</x:v>
      </x:c>
      <x:c r="Y160" s="9" t="str">
        <x:v>Simon Boswell / Chris Whitten score was later commercially released (2017 remaster, 2019 Reworks) and could be fingerprinted</x:v>
      </x:c>
      <x:c r="Z160" s="9" t="str">
        <x:v>2–4 hr</x:v>
      </x:c>
      <x:c r="AA160" s="9" t="str">
        <x:v>Philips' flagship cyberpunk FMV adventure: a two-hour countdown with a virus in your head, and a techno score by Simon Boswell.</x:v>
      </x:c>
      <x:c r="AB160" s="9" t="str">
        <x:v>None known</x:v>
      </x:c>
      <x:c r="AC160" s="9" t="str">
        <x:v>Base-case CD-i video (no MPEG): recorded footage played across two display planes over still backgrounds; partial-screen, low frame rate (verify exact size/fps)</x:v>
      </x:c>
      <x:c r="AD160" s="9" t="str">
        <x:v>Moderate; real-time two-hour countdown and some awkward action sections</x:v>
      </x:c>
      <x:c r="AE160" s="9" t="str">
        <x:v>Single main ending; failure if the countdown runs out (verify)</x:v>
      </x:c>
      <x:c r="AF160" s="9" t="str">
        <x:v>Boxed with a soundtrack audio CD; Boswell's score is often called one of the first orchestral-leaning game scores, later remastered in 2017.</x:v>
      </x:c>
      <x:c r="AG160" s="9" t="str">
        <x:v>NA and PAL longbox/jewel case releases; packaged with soundtrack CD (verify which regions)</x:v>
      </x:c>
      <x:c r="AH160" s="9" t="str">
        <x:v>No</x:v>
      </x:c>
      <x:c r="AI160" s="9" t="str">
        <x:v>Easy</x:v>
      </x:c>
      <x:c r="AJ160" s="9"/>
      <x:c r="AK160" s="9" t="str">
        <x:v>Release Oct 1994 per Wikipedia. WebFetch blocked; scores not confirmed. Cast unconfirmed.</x:v>
      </x:c>
      <x:c r="AL160" s="10" t="n">
        <x:v>21.68</x:v>
      </x:c>
      <x:c r="AM160" s="10" t="n">
        <x:v>44</x:v>
      </x:c>
      <x:c r="AN160" s="10" t="n">
        <x:v>88</x:v>
      </x:c>
      <x:c r="AO160" s="9" t="str">
        <x:v>2026-10-20</x:v>
      </x:c>
      <x:c r="AP160" s="11" t="str">
        <x:f>HYPERLINK("https://www.pricecharting.com/game/cd-i/burn-cycle","PriceCharting")</x:f>
        <x:v>PriceCharting</x:v>
      </x:c>
      <x:c r="AQ160" s="9"/>
      <x:c r="AR160" s="9"/>
      <x:c r="AS160" s="9"/>
      <x:c r="AT160" s="9"/>
      <x:c r="AU160" s="9"/>
      <x:c r="AV160" s="9"/>
      <x:c r="AW160" s="9"/>
      <x:c r="AX160" s="9"/>
      <x:c r="AY160" s="9" t="str">
        <x:v>85%</x:v>
      </x:c>
      <x:c r="AZ160" s="9" t="str">
        <x:v>4.0</x:v>
      </x:c>
      <x:c r="BA160" s="11" t="str">
        <x:f>HYPERLINK("https://www.mobygames.com/game/3962/burncycle/","MobyGames")</x:f>
        <x:v>MobyGames</x:v>
      </x:c>
      <x:c r="BB160" s="9"/>
      <x:c r="BC160" s="9"/>
      <x:c r="BD160" s="9"/>
      <x:c r="BE160" s="11" t="str">
        <x:f>HYPERLINK("https://en.wikipedia.org/wiki/Burn_Cycle","Wikipedia")</x:f>
        <x:v>Wikipedia</x:v>
      </x:c>
      <x:c r="BF160" s="11" t="str">
        <x:f>HYPERLINK("https://backloggd.com/search/games/Burn%3ACycle/","Backloggd")</x:f>
        <x:v>Backloggd</x:v>
      </x:c>
      <x:c r="BG160" s="9"/>
      <x:c r="BH160" s="9"/>
      <x:c r="BI160" s="12" t="str">
        <x:v>No</x:v>
      </x:c>
      <x:c r="BJ160" s="12" t="str"/>
      <x:c r="BK160" s="12" t="str">
        <x:v>No</x:v>
      </x:c>
      <x:c r="BL160" s="12" t="str"/>
      <x:c r="BM160" s="12" t="str"/>
      <x:c r="BN160" s="12" t="str"/>
      <x:c r="BO160" s="12" t="str"/>
      <x:c r="BP160" s="12" t="str"/>
      <x:c r="BQ160" s="12" t="str"/>
    </x:row>
    <x:row r="161">
      <x:c r="A161" s="9" t="str">
        <x:v>cdi-16</x:v>
      </x:c>
      <x:c r="B161" s="9" t="str">
        <x:v>voyeur</x:v>
      </x:c>
      <x:c r="C161" s="9" t="str">
        <x:v>Philips CD-i</x:v>
      </x:c>
      <x:c r="D161" s="9" t="str">
        <x:v>Voyeur</x:v>
      </x:c>
      <x:c r="E161" s="9" t="str"/>
      <x:c r="F161" s="9" t="str">
        <x:v>Philips POV Entertainment Group</x:v>
      </x:c>
      <x:c r="G161" s="9" t="str">
        <x:v>Philips Interactive Media</x:v>
      </x:c>
      <x:c r="H161" s="9" t="n">
        <x:v>1993</x:v>
      </x:c>
      <x:c r="I161" s="9" t="str">
        <x:v>Yes</x:v>
      </x:c>
      <x:c r="J161" s="9" t="str">
        <x:v>No</x:v>
      </x:c>
      <x:c r="K161" s="9" t="str">
        <x:v>Yes</x:v>
      </x:c>
      <x:c r="L161" s="9" t="str">
        <x:v>No</x:v>
      </x:c>
      <x:c r="M161" s="9" t="str">
        <x:v>Interactive movie / voyeur thriller</x:v>
      </x:c>
      <x:c r="N161" s="9" t="str">
        <x:v>Live-action</x:v>
      </x:c>
      <x:c r="O161" s="9" t="n">
        <x:v>10</x:v>
      </x:c>
      <x:c r="P161" s="9" t="str">
        <x:v>Interactive movie</x:v>
      </x:c>
      <x:c r="Q161" s="9" t="str">
        <x:v>Released</x:v>
      </x:c>
      <x:c r="R161" s="9" t="str">
        <x:v>Original production (directed by Robert Weaver)</x:v>
      </x:c>
      <x:c r="S161" s="9" t="str">
        <x:v>MS-DOS, Macintosh; sequel Voyeur II (PC, 1996)</x:v>
      </x:c>
      <x:c r="T161" s="9" t="str">
        <x:v>Robert Culp (Reed Hawke), Grace Zabriskie (Margaret Hawke)</x:v>
      </x:c>
      <x:c r="U161" s="9" t="n">
        <x:v>1</x:v>
      </x:c>
      <x:c r="V161" s="9" t="str">
        <x:v>Unknown — verify</x:v>
      </x:c>
      <x:c r="W161" s="9" t="str">
        <x:v>CD-i remote listed (The World of CD-i); gamepad, trackball or mouse also work. Digital Video Cartridge not used (The World of CD-i).</x:v>
      </x:c>
      <x:c r="X161" s="9" t="str">
        <x:v>Low</x:v>
      </x:c>
      <x:c r="Y161" s="9" t="str"/>
      <x:c r="Z161" s="9" t="str">
        <x:v>1–2 hr per run</x:v>
      </x:c>
      <x:c r="AA161" s="9" t="str">
        <x:v>Robert Culp as a sleazy presidential candidate while you spy through his windows with a camcorder, in one of the first 'mature' CD-i titles.</x:v>
      </x:c>
      <x:c r="AB161" s="9" t="str">
        <x:v>None known</x:v>
      </x:c>
      <x:c r="AC161" s="9" t="str">
        <x:v>Live-action video viewed through windows of the Hawke mansion; window size/frame rate unconfirmed (verify)</x:v>
      </x:c>
      <x:c r="AD161" s="9" t="str">
        <x:v>Moderate; must record enough evidence before time runs out</x:v>
      </x:c>
      <x:c r="AE161" s="9" t="str">
        <x:v>Culprit chosen at random each new game; multiple outcomes depending on evidence gathered</x:v>
      </x:c>
      <x:c r="AF161" s="9" t="str">
        <x:v>Marketed on its simulated sex scenes, it carried a mature rating and became one of CD-i's better-known titles; a PC sequel starred Jennifer O'Neill.</x:v>
      </x:c>
      <x:c r="AG161" s="9" t="str">
        <x:v>NA and PAL releases (verify); later DOS/Mac ports</x:v>
      </x:c>
      <x:c r="AH161" s="9" t="str">
        <x:v>No (this release); DOS edition sold on Steam by Pixel Games UK.</x:v>
      </x:c>
      <x:c r="AI161" s="9" t="str">
        <x:v>Easy</x:v>
      </x:c>
      <x:c r="AJ161" s="9" t="str">
        <x:v>Original CD-i disc on original hardware or a compatible emulator; Steam sells the DOS edition separately.</x:v>
      </x:c>
      <x:c r="AK161" s="9" t="str">
        <x:v>A Steam page names the character 'Richard Hawke'; Wikipedia says Reed Hawke. DVC requirement not confirmed.</x:v>
      </x:c>
      <x:c r="AL161" s="10" t="n">
        <x:v>16.99</x:v>
      </x:c>
      <x:c r="AM161" s="10" t="n">
        <x:v>20.98</x:v>
      </x:c>
      <x:c r="AN161" s="10" t="n">
        <x:v>37.99</x:v>
      </x:c>
      <x:c r="AO161" s="9" t="str">
        <x:v>2026-10-20</x:v>
      </x:c>
      <x:c r="AP161" s="11" t="str">
        <x:f>HYPERLINK("https://www.pricecharting.com/game/cd-i/voyeur","PriceCharting")</x:f>
        <x:v>PriceCharting</x:v>
      </x:c>
      <x:c r="AQ161" s="9"/>
      <x:c r="AR161" s="9"/>
      <x:c r="AS161" s="9"/>
      <x:c r="AT161" s="9"/>
      <x:c r="AU161" s="9"/>
      <x:c r="AV161" s="9"/>
      <x:c r="AW161" s="9"/>
      <x:c r="AX161" s="9"/>
      <x:c r="AY161" s="9" t="str">
        <x:v>70%</x:v>
      </x:c>
      <x:c r="AZ161" s="9"/>
      <x:c r="BA161" s="11" t="str">
        <x:f>HYPERLINK("https://www.mobygames.com/game/1661/voyeur/","MobyGames")</x:f>
        <x:v>MobyGames</x:v>
      </x:c>
      <x:c r="BB161" s="9"/>
      <x:c r="BC161" s="9"/>
      <x:c r="BD161" s="9"/>
      <x:c r="BE161" s="11" t="str">
        <x:f>HYPERLINK("https://en.wikipedia.org/wiki/Voyeur_(video_game)","Wikipedia")</x:f>
        <x:v>Wikipedia</x:v>
      </x:c>
      <x:c r="BF161" s="11" t="str">
        <x:f>HYPERLINK("https://backloggd.com/search/games/Voyeur/","Backloggd")</x:f>
        <x:v>Backloggd</x:v>
      </x:c>
      <x:c r="BG161" s="9"/>
      <x:c r="BH161" s="9"/>
      <x:c r="BI161" s="12" t="str">
        <x:v>No</x:v>
      </x:c>
      <x:c r="BJ161" s="12" t="str"/>
      <x:c r="BK161" s="12" t="str">
        <x:v>No</x:v>
      </x:c>
      <x:c r="BL161" s="12" t="str"/>
      <x:c r="BM161" s="12" t="str"/>
      <x:c r="BN161" s="12" t="str"/>
      <x:c r="BO161" s="12" t="str"/>
      <x:c r="BP161" s="12" t="str"/>
      <x:c r="BQ161" s="12" t="str"/>
    </x:row>
    <x:row r="162">
      <x:c r="A162" s="9" t="str">
        <x:v>cdi-17</x:v>
      </x:c>
      <x:c r="B162" s="9" t="str">
        <x:v>the-7th-guest</x:v>
      </x:c>
      <x:c r="C162" s="9" t="str">
        <x:v>Philips CD-i</x:v>
      </x:c>
      <x:c r="D162" s="9" t="str">
        <x:v>The 7th Guest</x:v>
      </x:c>
      <x:c r="E162" s="9" t="str"/>
      <x:c r="F162" s="9" t="str">
        <x:v>Trilobyte (original); CD-i version produced by Virgin for Philips Media (The World of CD-i)</x:v>
      </x:c>
      <x:c r="G162" s="9" t="str">
        <x:v>Philips Interactive Media</x:v>
      </x:c>
      <x:c r="H162" s="9" t="n">
        <x:v>1993</x:v>
      </x:c>
      <x:c r="I162" s="9" t="str">
        <x:v>Yes</x:v>
      </x:c>
      <x:c r="J162" s="9" t="str">
        <x:v>No</x:v>
      </x:c>
      <x:c r="K162" s="9" t="str">
        <x:v>Yes</x:v>
      </x:c>
      <x:c r="L162" s="9" t="str">
        <x:v>No</x:v>
      </x:c>
      <x:c r="M162" s="9" t="str">
        <x:v>Puzzle adventure / horror</x:v>
      </x:c>
      <x:c r="N162" s="9" t="str">
        <x:v>Live-action + pre-rendered CG</x:v>
      </x:c>
      <x:c r="O162" s="9" t="n">
        <x:v>6</x:v>
      </x:c>
      <x:c r="P162" s="9" t="str">
        <x:v>Pre-rendered CG</x:v>
      </x:c>
      <x:c r="Q162" s="9" t="str">
        <x:v>Released</x:v>
      </x:c>
      <x:c r="R162" s="9" t="str">
        <x:v>PC original (Trilobyte/Virgin, 1993)</x:v>
      </x:c>
      <x:c r="S162" s="9" t="str">
        <x:v>MS-DOS, Mac, Windows, iOS, Android, Steam/GOG; 3DO port cancelled</x:v>
      </x:c>
      <x:c r="T162" s="9" t="str">
        <x:v>Robert Hirschboeck (Henry Stauf), Debra Ritz Mason, Larry Roher, Jolene Patrick, Julia Tucker, Michael Pocaro, Ted Lawson, Douglas Knapp (Wikipedia)</x:v>
      </x:c>
      <x:c r="U162" s="9" t="n">
        <x:v>2</x:v>
      </x:c>
      <x:c r="V162" s="9" t="str">
        <x:v>Yes</x:v>
      </x:c>
      <x:c r="W162" s="9" t="str">
        <x:v>CD-i Digital Video Cartridge: REQUIRED (Wikipedia CD-i list, TCRF). V1 disc has a bug with IMPEG 6.x cartridges, fixed in a later pressing. Mouse recommended.</x:v>
      </x:c>
      <x:c r="X162" s="9" t="str">
        <x:v>Low–Med</x:v>
      </x:c>
      <x:c r="Y162" s="9" t="str">
        <x:v>George 'The Fat Man' Sanger score has had commercial releases</x:v>
      </x:c>
      <x:c r="Z162" s="9" t="str">
        <x:v>6–10 hr</x:v>
      </x:c>
      <x:c r="AA162" s="9" t="str">
        <x:v>The CD-ROM killer app rebuilt for CD-i with MPEG video, complete with a pressing that crashed on certain DV cartridges.</x:v>
      </x:c>
      <x:c r="AB162" s="9" t="str">
        <x:v>In-game hint book in the library (standard feature); CD-i-specific codes none known</x:v>
      </x:c>
      <x:c r="AC162" s="9" t="str">
        <x:v>MPEG-1 via Digital Video Cartridge; ghostly live-action actors over pre-rendered mansion transitions (verify resolution)</x:v>
      </x:c>
      <x:c r="AD162" s="9" t="str">
        <x:v>Hard puzzles (microscope/infection puzzle notorious)</x:v>
      </x:c>
      <x:c r="AE162" s="9" t="str">
        <x:v>Single ending</x:v>
      </x:c>
      <x:c r="AF162" s="9" t="str">
        <x:v>Uses a Philips custom engine, not Trilobyte's Groovie engine. Retro-collectors document two disc versions because of a cartridge-compatibility bug.</x:v>
      </x:c>
      <x:c r="AG162" s="9" t="str">
        <x:v>Two disc revisions (V1 with IMPEG bug, later fixed); NA and PAL releases</x:v>
      </x:c>
      <x:c r="AH162" s="9" t="str">
        <x:v>Yes (PC/Steam/GOG, mobile; not the CD-i version)</x:v>
      </x:c>
      <x:c r="AI162" s="9" t="str">
        <x:v>Add-on required</x:v>
      </x:c>
      <x:c r="AJ162" s="9"/>
      <x:c r="AK162" s="9" t="str">
        <x:v>Wikipedia infobox: CD-i NA Oct 1, 1993, EU Nov 17, 1993. Two discs (The World of CD-i). Two pressings exist: the first only works properly with the first DVC version, the second with both (check the ring code after the catalogue number on CD1).</x:v>
      </x:c>
      <x:c r="AL162" s="10" t="n">
        <x:v>12</x:v>
      </x:c>
      <x:c r="AM162" s="10" t="n">
        <x:v>29.55</x:v>
      </x:c>
      <x:c r="AN162" s="10" t="n">
        <x:v>46.4</x:v>
      </x:c>
      <x:c r="AO162" s="9" t="str">
        <x:v>2026-10-20</x:v>
      </x:c>
      <x:c r="AP162" s="11" t="str">
        <x:f>HYPERLINK("https://www.pricecharting.com/game/cd-i/the-7th-guest","PriceCharting")</x:f>
        <x:v>PriceCharting</x:v>
      </x:c>
      <x:c r="AQ162" s="9"/>
      <x:c r="AR162" s="9"/>
      <x:c r="AS162" s="9"/>
      <x:c r="AT162" s="9"/>
      <x:c r="AU162" s="9"/>
      <x:c r="AV162" s="9"/>
      <x:c r="AW162" s="9"/>
      <x:c r="AX162" s="9"/>
      <x:c r="AY162" s="9" t="str">
        <x:v>78%</x:v>
      </x:c>
      <x:c r="AZ162" s="9" t="str">
        <x:v>4.3</x:v>
      </x:c>
      <x:c r="BA162" s="11" t="str">
        <x:f>HYPERLINK("https://www.mobygames.com/game/283/the-7th-guest/","MobyGames")</x:f>
        <x:v>MobyGames</x:v>
      </x:c>
      <x:c r="BB162" s="9" t="str">
        <x:v>75%</x:v>
      </x:c>
      <x:c r="BC162" s="9" t="str">
        <x:v>average of 4 reviews on Wikipedia (CD-i, EGM, NGen, Power Unlimited)</x:v>
      </x:c>
      <x:c r="BD162" s="9" t="str">
        <x:f>HYPERLINK("https://en.wikipedia.org/wiki/The_7th_Guest","Source")</x:f>
        <x:v>Source</x:v>
      </x:c>
      <x:c r="BE162" s="11" t="str">
        <x:f>HYPERLINK("https://en.wikipedia.org/wiki/The_7th_Guest","Wikipedia")</x:f>
        <x:v>Wikipedia</x:v>
      </x:c>
      <x:c r="BF162" s="11" t="str">
        <x:f>HYPERLINK("https://backloggd.com/search/games/The%207th%20Guest/","Backloggd")</x:f>
        <x:v>Backloggd</x:v>
      </x:c>
      <x:c r="BG162" s="9"/>
      <x:c r="BH162" s="9"/>
      <x:c r="BI162" s="12" t="str">
        <x:v>No</x:v>
      </x:c>
      <x:c r="BJ162" s="12" t="str"/>
      <x:c r="BK162" s="12" t="str">
        <x:v>No</x:v>
      </x:c>
      <x:c r="BL162" s="12" t="str"/>
      <x:c r="BM162" s="12" t="str"/>
      <x:c r="BN162" s="12" t="str"/>
      <x:c r="BO162" s="12" t="str"/>
      <x:c r="BP162" s="12" t="str"/>
      <x:c r="BQ162" s="12" t="str"/>
    </x:row>
    <x:row r="163">
      <x:c r="A163" s="9" t="str">
        <x:v>cdi-18</x:v>
      </x:c>
      <x:c r="B163" s="9" t="str">
        <x:v>thunder-in-paradise</x:v>
      </x:c>
      <x:c r="C163" s="9" t="str">
        <x:v>Philips CD-i</x:v>
      </x:c>
      <x:c r="D163" s="9" t="str">
        <x:v>Thunder in Paradise</x:v>
      </x:c>
      <x:c r="E163" s="9" t="str">
        <x:v>Thunder in Paradise Interactive</x:v>
      </x:c>
      <x:c r="F163" s="9" t="str">
        <x:v>Philips POV Entertainment (with Mass Media, per Giant Bomb)</x:v>
      </x:c>
      <x:c r="G163" s="9" t="str">
        <x:v>Philips Interactive Media</x:v>
      </x:c>
      <x:c r="H163" s="9" t="n">
        <x:v>1995</x:v>
      </x:c>
      <x:c r="I163" s="9" t="str">
        <x:v>Yes</x:v>
      </x:c>
      <x:c r="J163" s="9" t="str">
        <x:v>No</x:v>
      </x:c>
      <x:c r="K163" s="9" t="str">
        <x:v>Yes</x:v>
      </x:c>
      <x:c r="L163" s="9" t="str">
        <x:v>No</x:v>
      </x:c>
      <x:c r="M163" s="9" t="str">
        <x:v>Interactive movie / action</x:v>
      </x:c>
      <x:c r="N163" s="9" t="str">
        <x:v>Live-action</x:v>
      </x:c>
      <x:c r="O163" s="9" t="n">
        <x:v>8</x:v>
      </x:c>
      <x:c r="P163" s="9" t="str">
        <x:v>Interactive movie</x:v>
      </x:c>
      <x:c r="Q163" s="9" t="str">
        <x:v>Released</x:v>
      </x:c>
      <x:c r="R163" s="9" t="str">
        <x:v>TV license: Thunder in Paradise (1994 series), episode 'The M.A.J.O.R. and the Minor'</x:v>
      </x:c>
      <x:c r="S163" s="9" t="str">
        <x:v>MS-DOS / PC CD-ROM</x:v>
      </x:c>
      <x:c r="T163" s="9" t="str">
        <x:v>Hulk Hogan (Spence), Chris Lemmon (Bru) (Wikipedia)</x:v>
      </x:c>
      <x:c r="U163" s="9" t="n">
        <x:v>2</x:v>
      </x:c>
      <x:c r="V163" s="9" t="str">
        <x:v>No</x:v>
      </x:c>
      <x:c r="W163" s="9" t="str">
        <x:v>Digital Video Cartridge required; Peacekeeper Revolver listed as controller (The World of CD-i).</x:v>
      </x:c>
      <x:c r="X163" s="9" t="str">
        <x:v>HIGH</x:v>
      </x:c>
      <x:c r="Y163" s="9" t="str">
        <x:v>Licensed TV series footage; disc 2 is the full TV episode</x:v>
      </x:c>
      <x:c r="Z163" s="9" t="str">
        <x:v>1–2 hr (plus the bundled episode)</x:v>
      </x:c>
      <x:c r="AA163" s="9" t="str">
        <x:v>Hulk Hogan insults you between boat-gun sections, and the second disc is the whole TV episode.</x:v>
      </x:c>
      <x:c r="AB163" s="9" t="str">
        <x:v>None known</x:v>
      </x:c>
      <x:c r="AC163" s="9" t="str">
        <x:v>Full-screen MPEG-1 via the Digital Video Cartridge at the standard MPEG-1 size, 352×240 at 30 fps (NTSC) or 352×288 at 25 fps (PAL); footage was shot alongside the TV episode 'The M.A.J.O.R. and the Minor'.</x:v>
      </x:c>
      <x:c r="AD163" s="9" t="str">
        <x:v>Tedious shooting sections; failure is mocked by the cast</x:v>
      </x:c>
      <x:c r="AE163" s="9" t="str">
        <x:v>Three event sections playable in any order; one ending (verify)</x:v>
      </x:c>
      <x:c r="AF163" s="9" t="str">
        <x:v>Episode and game footage were shot together over 10–12 days; it is a two-disc set with the TV episode on disc 2.</x:v>
      </x:c>
      <x:c r="AG163" s="9" t="str">
        <x:v>NA and European CD-i releases (European set adds a second disc with the TV episode; French version is game only) (The World of CD-i); PC version 1995.</x:v>
      </x:c>
      <x:c r="AH163" s="9" t="str">
        <x:v>No</x:v>
      </x:c>
      <x:c r="AI163" s="9" t="str">
        <x:v>Add-on required</x:v>
      </x:c>
      <x:c r="AJ163" s="9"/>
      <x:c r="AK163" s="9" t="str">
        <x:v>Rare on CD-i. Destructoid review negative. MobyGames page seen in search: mobygames.com/game/cd-i/thunder-in-paradise-interactive; scores not confirmed.</x:v>
      </x:c>
      <x:c r="AL163" s="10" t="n">
        <x:v>45.27</x:v>
      </x:c>
      <x:c r="AM163" s="10" t="n">
        <x:v>55.48</x:v>
      </x:c>
      <x:c r="AN163" s="10" t="n">
        <x:v>197.88</x:v>
      </x:c>
      <x:c r="AO163" s="9" t="str">
        <x:v>2026-10-20</x:v>
      </x:c>
      <x:c r="AP163" s="11" t="str">
        <x:f>HYPERLINK("https://www.pricecharting.com/game/cd-i/thunder-in-paradise-interactive","PriceCharting")</x:f>
        <x:v>PriceCharting</x:v>
      </x:c>
      <x:c r="AQ163" s="9"/>
      <x:c r="AR163" s="9"/>
      <x:c r="AS163" s="9"/>
      <x:c r="AT163" s="9"/>
      <x:c r="AU163" s="9"/>
      <x:c r="AV163" s="9"/>
      <x:c r="AW163" s="9"/>
      <x:c r="AX163" s="9"/>
      <x:c r="AY163" s="9"/>
      <x:c r="AZ163" s="9"/>
      <x:c r="BA163" s="11" t="str">
        <x:f>HYPERLINK("https://mobygames.com/game/cd-i/thunder-in-paradise-interactive","MobyGames")</x:f>
        <x:v>MobyGames</x:v>
      </x:c>
      <x:c r="BB163" s="9" t="str">
        <x:v>79%</x:v>
      </x:c>
      <x:c r="BC163" s="9" t="str">
        <x:v>CD-i Magazine on Wikipedia, 1 review</x:v>
      </x:c>
      <x:c r="BD163" s="9" t="str">
        <x:f>HYPERLINK("https://en.wikipedia.org/wiki/Thunder_in_Paradise_%28video_game%29","Source")</x:f>
        <x:v>Source</x:v>
      </x:c>
      <x:c r="BE163" s="11" t="str">
        <x:f>HYPERLINK("https://en.wikipedia.org/wiki/Thunder_in_Paradise_(video_game)","Wikipedia")</x:f>
        <x:v>Wikipedia</x:v>
      </x:c>
      <x:c r="BF163" s="11" t="str">
        <x:f>HYPERLINK("https://backloggd.com/search/games/Thunder%20in%20Paradise/","Backloggd")</x:f>
        <x:v>Backloggd</x:v>
      </x:c>
      <x:c r="BG163" s="9"/>
      <x:c r="BH163" s="9"/>
      <x:c r="BI163" s="12" t="str">
        <x:v>No</x:v>
      </x:c>
      <x:c r="BJ163" s="12" t="str"/>
      <x:c r="BK163" s="12" t="str">
        <x:v>No</x:v>
      </x:c>
      <x:c r="BL163" s="12" t="str"/>
      <x:c r="BM163" s="12" t="str"/>
      <x:c r="BN163" s="12" t="str"/>
      <x:c r="BO163" s="12" t="str"/>
      <x:c r="BP163" s="12" t="str"/>
      <x:c r="BQ163" s="12" t="str"/>
    </x:row>
    <x:row r="164">
      <x:c r="A164" s="9" t="str">
        <x:v>cdi-19</x:v>
      </x:c>
      <x:c r="B164" s="9" t="str">
        <x:v>the-lost-ride</x:v>
      </x:c>
      <x:c r="C164" s="9" t="str">
        <x:v>Philips CD-i</x:v>
      </x:c>
      <x:c r="D164" s="9" t="str">
        <x:v>The Lost Ride</x:v>
      </x:c>
      <x:c r="E164" s="9" t="str"/>
      <x:c r="F164" s="9" t="str">
        <x:v>Formula; The Lost Boys (Lost Boys Interactive hidden credit)</x:v>
      </x:c>
      <x:c r="G164" s="9" t="str">
        <x:v>Philips Media (EU)</x:v>
      </x:c>
      <x:c r="H164" s="9" t="n">
        <x:v>1998</x:v>
      </x:c>
      <x:c r="I164" s="9" t="str">
        <x:v>No</x:v>
      </x:c>
      <x:c r="J164" s="9" t="str">
        <x:v>No</x:v>
      </x:c>
      <x:c r="K164" s="9" t="str">
        <x:v>Yes</x:v>
      </x:c>
      <x:c r="L164" s="9" t="str">
        <x:v>No</x:v>
      </x:c>
      <x:c r="M164" s="9" t="str">
        <x:v>Rail shooter (roller coaster)</x:v>
      </x:c>
      <x:c r="N164" s="9" t="str">
        <x:v>Pre-rendered CG</x:v>
      </x:c>
      <x:c r="O164" s="9" t="n">
        <x:v>9</x:v>
      </x:c>
      <x:c r="P164" s="9" t="str">
        <x:v>Pre-rendered CG</x:v>
      </x:c>
      <x:c r="Q164" s="9" t="str">
        <x:v>Released</x:v>
      </x:c>
      <x:c r="R164" s="9" t="str">
        <x:v>Original production</x:v>
      </x:c>
      <x:c r="S164" s="9" t="str">
        <x:v>None known</x:v>
      </x:c>
      <x:c r="T164" s="9" t="str">
        <x:v>—</x:v>
      </x:c>
      <x:c r="U164" s="9" t="n">
        <x:v>1</x:v>
      </x:c>
      <x:c r="V164" s="9" t="str">
        <x:v>Unknown — verify</x:v>
      </x:c>
      <x:c r="W164" s="9" t="str">
        <x:v>Digital Video Cartridge required (The World of CD-i). Standard controller/thumbstick.</x:v>
      </x:c>
      <x:c r="X164" s="9" t="str">
        <x:v>Low</x:v>
      </x:c>
      <x:c r="Y164" s="9" t="str"/>
      <x:c r="Z164" s="9" t="str">
        <x:v>Under 1 hr</x:v>
      </x:c>
      <x:c r="AA164" s="9" t="str">
        <x:v>A late, Europe-only CD-i rail shooter set on a futuristic roller coaster, built by the studio that became Guerrilla.</x:v>
      </x:c>
      <x:c r="AB164" s="9" t="str">
        <x:v>Unknown — verify (TCRF documents hidden content)</x:v>
      </x:c>
      <x:c r="AC164" s="9" t="str">
        <x:v>Streamed pre-rendered CG with sprite targets, MPEG-1 via the Digital Video Cartridge.</x:v>
      </x:c>
      <x:c r="AD164" s="9" t="str">
        <x:v>Hard: the sprawling first level is punishing, the map only appears at set points, and shots often fail to register (Video Game Critic)</x:v>
      </x:c>
      <x:c r="AE164" s="9" t="str">
        <x:v>Linear</x:v>
      </x:c>
      <x:c r="AF164" s="9" t="str">
        <x:v>TCRF notes a 1998 build date in the header and a hidden credit for Lost Boys Interactive (later part of Guerrilla Games — verify).</x:v>
      </x:c>
      <x:c r="AG164" s="9" t="str">
        <x:v>EU release (UK, France, Germany, Italy, Netherlands, Spain)</x:v>
      </x:c>
      <x:c r="AH164" s="9" t="str">
        <x:v>No</x:v>
      </x:c>
      <x:c r="AI164" s="9" t="str">
        <x:v>Add-on required</x:v>
      </x:c>
      <x:c r="AJ164" s="9"/>
      <x:c r="AK164" s="9" t="str">
        <x:v>One of the last CD-i releases (1998). DVC requirement and Guerrilla link not confirmed.</x:v>
      </x:c>
      <x:c r="AL164" s="10" t="n">
        <x:v>36.7</x:v>
      </x:c>
      <x:c r="AM164" s="10" t="n">
        <x:v>40.24</x:v>
      </x:c>
      <x:c r="AN164" s="10" t="n">
        <x:v>89.99</x:v>
      </x:c>
      <x:c r="AO164" s="9" t="str">
        <x:v>2026-10-20</x:v>
      </x:c>
      <x:c r="AP164" s="11" t="str">
        <x:f>HYPERLINK("https://www.pricecharting.com/game/cd-i/the-lost-ride","PriceCharting")</x:f>
        <x:v>PriceCharting</x:v>
      </x:c>
      <x:c r="AQ164" s="9"/>
      <x:c r="AR164" s="9"/>
      <x:c r="AS164" s="9"/>
      <x:c r="AT164" s="9"/>
      <x:c r="AU164" s="9"/>
      <x:c r="AV164" s="9"/>
      <x:c r="AW164" s="9"/>
      <x:c r="AX164" s="9"/>
      <x:c r="AY164" s="9" t="str">
        <x:v>56%</x:v>
      </x:c>
      <x:c r="AZ164" s="9"/>
      <x:c r="BA164" s="11" t="str">
        <x:f>HYPERLINK("https://www.mobygames.com/game/40575/the-lost-ride/","MobyGames")</x:f>
        <x:v>MobyGames</x:v>
      </x:c>
      <x:c r="BB164" s="9"/>
      <x:c r="BC164" s="9"/>
      <x:c r="BD164" s="9"/>
      <x:c r="BE164" s="9"/>
      <x:c r="BF164" s="11" t="str">
        <x:f>HYPERLINK("https://backloggd.com/search/games/The%20Lost%20Ride/","Backloggd")</x:f>
        <x:v>Backloggd</x:v>
      </x:c>
      <x:c r="BG164" s="9"/>
      <x:c r="BH164" s="9"/>
      <x:c r="BI164" s="12" t="str">
        <x:v>No</x:v>
      </x:c>
      <x:c r="BJ164" s="12" t="str"/>
      <x:c r="BK164" s="12" t="str">
        <x:v>No</x:v>
      </x:c>
      <x:c r="BL164" s="12" t="str"/>
      <x:c r="BM164" s="12" t="str"/>
      <x:c r="BN164" s="12" t="str"/>
      <x:c r="BO164" s="12" t="str"/>
      <x:c r="BP164" s="12" t="str"/>
      <x:c r="BQ164" s="12" t="str"/>
    </x:row>
    <x:row r="165">
      <x:c r="A165" s="9" t="str">
        <x:v>cdi-20</x:v>
      </x:c>
      <x:c r="B165" s="9" t="str">
        <x:v>clue-the-mysteries-continue</x:v>
      </x:c>
      <x:c r="C165" s="9" t="str">
        <x:v>Philips CD-i</x:v>
      </x:c>
      <x:c r="D165" s="9" t="str">
        <x:v>Clue: The Mysteries Continue</x:v>
      </x:c>
      <x:c r="E165" s="9" t="str">
        <x:v>Cluedo: The Mysteries Continue (UK); Clue 2: The Mysteries Continue (US)</x:v>
      </x:c>
      <x:c r="F165" s="9" t="str">
        <x:v>3T Productions</x:v>
      </x:c>
      <x:c r="G165" s="9" t="str">
        <x:v>Philips Interactive Media</x:v>
      </x:c>
      <x:c r="H165" s="9" t="n">
        <x:v>1995</x:v>
      </x:c>
      <x:c r="I165" s="9" t="str">
        <x:v>Yes</x:v>
      </x:c>
      <x:c r="J165" s="9" t="str">
        <x:v>No</x:v>
      </x:c>
      <x:c r="K165" s="9" t="str">
        <x:v>Yes</x:v>
      </x:c>
      <x:c r="L165" s="9" t="str">
        <x:v>No</x:v>
      </x:c>
      <x:c r="M165" s="9" t="str">
        <x:v>Mystery / board game adaptation</x:v>
      </x:c>
      <x:c r="N165" s="9" t="str">
        <x:v>Live-action</x:v>
      </x:c>
      <x:c r="O165" s="9" t="n">
        <x:v>5</x:v>
      </x:c>
      <x:c r="P165" s="9" t="str">
        <x:v>FMV adventure</x:v>
      </x:c>
      <x:c r="Q165" s="9" t="str">
        <x:v>Released</x:v>
      </x:c>
      <x:c r="R165" s="9" t="str">
        <x:v>Board game license (Clue/Cluedo, Waddingtons/Parker Brothers); sequel to CD-i Clue/Cluedo</x:v>
      </x:c>
      <x:c r="S165" s="9" t="str">
        <x:v>PC (conversion, per a fan site — verify)</x:v>
      </x:c>
      <x:c r="T165" s="9" t="str">
        <x:v>Joan Sims (Mrs. White), Susan Wooldridge (Mrs. Peacock), David Healy (Professor Plum), Stuart Milligan (Mr. Green), John Standing (Colonel Mustard), Nicola Van Dam (Miss Scarlet), Angus MacInnes (Mr. Boddy), Terence Harvey (the Butler); same cast as Cluedo, filmed at Arley Hall (per cluedofan.com; verify)</x:v>
      </x:c>
      <x:c r="U165" s="9" t="n">
        <x:v>1</x:v>
      </x:c>
      <x:c r="V165" s="9" t="str">
        <x:v>Unknown — verify</x:v>
      </x:c>
      <x:c r="W165" s="9" t="str">
        <x:v>Digital Video Cartridge required; CD-i remote listed (The World of CD-i).</x:v>
      </x:c>
      <x:c r="X165" s="9" t="str">
        <x:v>Low</x:v>
      </x:c>
      <x:c r="Y165" s="9" t="str"/>
      <x:c r="Z165" s="9" t="str">
        <x:v>30 min per mystery; 3 mysteries x 4 skill levels</x:v>
      </x:c>
      <x:c r="AA165" s="9" t="str">
        <x:v>Cluedo as filmed whodunits in a real stately home, award-winning at the CD-i awards.</x:v>
      </x:c>
      <x:c r="AB165" s="9" t="str">
        <x:v>None known</x:v>
      </x:c>
      <x:c r="AC165" s="9" t="str">
        <x:v>Live-action clips in MPEG-1 via the Digital Video Cartridge (The World of CD-i).</x:v>
      </x:c>
      <x:c r="AD165" s="9" t="str">
        <x:v>Four skill levels, each with a different solution</x:v>
      </x:c>
      <x:c r="AE165" s="9" t="str">
        <x:v>Different solution per skill level</x:v>
      </x:c>
      <x:c r="AF165" s="9" t="str">
        <x:v>Filmed at Arley Hall; won gold in two categories at the ICDIA awards in Cannes.</x:v>
      </x:c>
      <x:c r="AG165" s="9" t="str">
        <x:v>UK 'Cluedo' and US 'Clue' versions</x:v>
      </x:c>
      <x:c r="AH165" s="9" t="str">
        <x:v>No</x:v>
      </x:c>
      <x:c r="AI165" s="9" t="str">
        <x:v>Add-on required</x:v>
      </x:c>
      <x:c r="AJ165" s="9"/>
      <x:c r="AK165" s="9" t="str">
        <x:v>Wikipedia article covers both CD-i Cluedo games. Mystery names differ by source ('Not In My Backyard' vs 'Deadly Patent').</x:v>
      </x:c>
      <x:c r="AL165" s="10" t="n">
        <x:v>9.61</x:v>
      </x:c>
      <x:c r="AM165" s="10" t="n">
        <x:v>32.39</x:v>
      </x:c>
      <x:c r="AN165" s="10" t="n">
        <x:v>65</x:v>
      </x:c>
      <x:c r="AO165" s="9" t="str">
        <x:v>2026-10-20</x:v>
      </x:c>
      <x:c r="AP165" s="11" t="str">
        <x:f>HYPERLINK("https://www.pricecharting.com/game/cd-i/clue-the-mystery-continues","PriceCharting")</x:f>
        <x:v>PriceCharting</x:v>
      </x:c>
      <x:c r="AQ165" s="9"/>
      <x:c r="AR165" s="9"/>
      <x:c r="AS165" s="9"/>
      <x:c r="AT165" s="9"/>
      <x:c r="AU165" s="9"/>
      <x:c r="AV165" s="9"/>
      <x:c r="AW165" s="9"/>
      <x:c r="AX165" s="9"/>
      <x:c r="AY165" s="9"/>
      <x:c r="AZ165" s="9"/>
      <x:c r="BA165" s="11" t="str">
        <x:f>HYPERLINK("https://www.mobygames.com/game/43972/clue-2-the-mysteries-continue/","MobyGames")</x:f>
        <x:v>MobyGames</x:v>
      </x:c>
      <x:c r="BB165" s="9"/>
      <x:c r="BC165" s="9"/>
      <x:c r="BD165" s="9"/>
      <x:c r="BE165" s="11" t="str">
        <x:f>HYPERLINK("https://en.wikipedia.org/wiki/Cluedo_(CD-i_video_game)","Wikipedia")</x:f>
        <x:v>Wikipedia</x:v>
      </x:c>
      <x:c r="BF165" s="11" t="str">
        <x:f>HYPERLINK("https://backloggd.com/search/games/Clue%3A%20The%20Mysteries%20Continue/","Backloggd")</x:f>
        <x:v>Backloggd</x:v>
      </x:c>
      <x:c r="BG165" s="9"/>
      <x:c r="BH165" s="9"/>
      <x:c r="BI165" s="12" t="str">
        <x:v>No</x:v>
      </x:c>
      <x:c r="BJ165" s="12" t="str"/>
      <x:c r="BK165" s="12" t="str">
        <x:v>No</x:v>
      </x:c>
      <x:c r="BL165" s="12" t="str"/>
      <x:c r="BM165" s="12" t="str"/>
      <x:c r="BN165" s="12" t="str"/>
      <x:c r="BO165" s="12" t="str"/>
      <x:c r="BP165" s="12" t="str"/>
      <x:c r="BQ165" s="12" t="str"/>
    </x:row>
    <x:row r="166">
      <x:c r="A166" s="9" t="str">
        <x:v>cdi-21</x:v>
      </x:c>
      <x:c r="B166" s="9" t="str">
        <x:v>kether</x:v>
      </x:c>
      <x:c r="C166" s="9" t="str">
        <x:v>Philips CD-i</x:v>
      </x:c>
      <x:c r="D166" s="9" t="str">
        <x:v>Kether</x:v>
      </x:c>
      <x:c r="E166" s="9" t="str"/>
      <x:c r="F166" s="9" t="str">
        <x:v>Infogrames (International World Productions)</x:v>
      </x:c>
      <x:c r="G166" s="9" t="str">
        <x:v>Philips Interactive Media</x:v>
      </x:c>
      <x:c r="H166" s="9" t="n">
        <x:v>1993</x:v>
      </x:c>
      <x:c r="I166" s="9" t="str">
        <x:v>Yes</x:v>
      </x:c>
      <x:c r="J166" s="9" t="str">
        <x:v>No</x:v>
      </x:c>
      <x:c r="K166" s="9" t="str">
        <x:v>Yes</x:v>
      </x:c>
      <x:c r="L166" s="9" t="str">
        <x:v>No</x:v>
      </x:c>
      <x:c r="M166" s="9" t="str">
        <x:v>Space flight action / adventure</x:v>
      </x:c>
      <x:c r="N166" s="9" t="str">
        <x:v>Live-action</x:v>
      </x:c>
      <x:c r="O166" s="9" t="n">
        <x:v>3</x:v>
      </x:c>
      <x:c r="P166" s="9" t="str">
        <x:v>Cutscenes only</x:v>
      </x:c>
      <x:c r="Q166" s="9" t="str">
        <x:v>Released</x:v>
      </x:c>
      <x:c r="R166" s="9" t="str">
        <x:v>Original production</x:v>
      </x:c>
      <x:c r="S166" s="9" t="str">
        <x:v>None known</x:v>
      </x:c>
      <x:c r="T166" s="9" t="str">
        <x:v>Unknown — verify</x:v>
      </x:c>
      <x:c r="U166" s="9" t="n">
        <x:v>1</x:v>
      </x:c>
      <x:c r="V166" s="9" t="str">
        <x:v>Unknown — verify</x:v>
      </x:c>
      <x:c r="W166" s="9" t="str">
        <x:v>CD-i Digital Video Cartridge: not required (The World of CD-i lists DVC: No). Standard controller.</x:v>
      </x:c>
      <x:c r="X166" s="9" t="str">
        <x:v>Low</x:v>
      </x:c>
      <x:c r="Y166" s="9" t="str"/>
      <x:c r="Z166" s="9" t="str">
        <x:v>1–3 hr (verify)</x:v>
      </x:c>
      <x:c r="AA166" s="9" t="str">
        <x:v>Infogrames' early CD-i space shooter that framed its flying with live-actor cutscenes shot like a film.</x:v>
      </x:c>
      <x:c r="AB166" s="9" t="str">
        <x:v>None known</x:v>
      </x:c>
      <x:c r="AC166" s="9" t="str">
        <x:v>Base-case CD-i video for live-actor cutscenes (verify size/fps)</x:v>
      </x:c>
      <x:c r="AD166" s="9" t="str">
        <x:v>Unknown — verify</x:v>
      </x:c>
      <x:c r="AE166" s="9" t="str">
        <x:v>Linear</x:v>
      </x:c>
      <x:c r="AF166" s="9" t="str">
        <x:v>Production mirrored a feature film, with a script written first and live actors added via video cutscenes.</x:v>
      </x:c>
      <x:c r="AG166" s="9" t="str">
        <x:v>EU Oct 1993, NA Jan 1994</x:v>
      </x:c>
      <x:c r="AH166" s="9" t="str">
        <x:v>No</x:v>
      </x:c>
      <x:c r="AI166" s="9" t="str">
        <x:v>Easy</x:v>
      </x:c>
      <x:c r="AJ166" s="9"/>
      <x:c r="AK166" s="9" t="str">
        <x:v>FMV level estimated from cutscene description.</x:v>
      </x:c>
      <x:c r="AL166" s="10" t="n">
        <x:v>7.3</x:v>
      </x:c>
      <x:c r="AM166" s="10" t="n">
        <x:v>20.27</x:v>
      </x:c>
      <x:c r="AN166" s="10" t="n">
        <x:v>14.94</x:v>
      </x:c>
      <x:c r="AO166" s="9" t="str">
        <x:v>2026-10-20</x:v>
      </x:c>
      <x:c r="AP166" s="11" t="str">
        <x:f>HYPERLINK("https://www.pricecharting.com/game/cd-i/kether","PriceCharting")</x:f>
        <x:v>PriceCharting</x:v>
      </x:c>
      <x:c r="AQ166" s="9"/>
      <x:c r="AR166" s="9"/>
      <x:c r="AS166" s="9"/>
      <x:c r="AT166" s="9"/>
      <x:c r="AU166" s="9"/>
      <x:c r="AV166" s="9"/>
      <x:c r="AW166" s="9"/>
      <x:c r="AX166" s="9"/>
      <x:c r="AY166" s="9" t="str">
        <x:v>74%</x:v>
      </x:c>
      <x:c r="AZ166" s="9"/>
      <x:c r="BA166" s="11" t="str">
        <x:f>HYPERLINK("https://www.mobygames.com/game/39443/kether/","MobyGames")</x:f>
        <x:v>MobyGames</x:v>
      </x:c>
      <x:c r="BB166" s="9"/>
      <x:c r="BC166" s="9"/>
      <x:c r="BD166" s="9"/>
      <x:c r="BE166" s="11" t="str">
        <x:f>HYPERLINK("https://en.wikipedia.org/wiki/Kether_(video_game)","Wikipedia")</x:f>
        <x:v>Wikipedia</x:v>
      </x:c>
      <x:c r="BF166" s="11" t="str">
        <x:f>HYPERLINK("https://backloggd.com/search/games/Kether/","Backloggd")</x:f>
        <x:v>Backloggd</x:v>
      </x:c>
      <x:c r="BG166" s="9"/>
      <x:c r="BH166" s="9"/>
      <x:c r="BI166" s="12" t="str">
        <x:v>No</x:v>
      </x:c>
      <x:c r="BJ166" s="12" t="str"/>
      <x:c r="BK166" s="12" t="str">
        <x:v>No</x:v>
      </x:c>
      <x:c r="BL166" s="12" t="str"/>
      <x:c r="BM166" s="12" t="str"/>
      <x:c r="BN166" s="12" t="str"/>
      <x:c r="BO166" s="12" t="str"/>
      <x:c r="BP166" s="12" t="str"/>
      <x:c r="BQ166" s="12" t="str"/>
    </x:row>
    <x:row r="167">
      <x:c r="A167" s="9" t="str">
        <x:v>cdi-22</x:v>
      </x:c>
      <x:c r="B167" s="9" t="str">
        <x:v>atlantis-the-last-resort</x:v>
      </x:c>
      <x:c r="C167" s="9" t="str">
        <x:v>Philips CD-i</x:v>
      </x:c>
      <x:c r="D167" s="9" t="str">
        <x:v>Atlantis: The Last Resort</x:v>
      </x:c>
      <x:c r="E167" s="9" t="str">
        <x:v>Atlantis</x:v>
      </x:c>
      <x:c r="F167" s="9" t="str">
        <x:v>Philips Research Laboratories (Redhill) (The World of CD-i)</x:v>
      </x:c>
      <x:c r="G167" s="9" t="str">
        <x:v>Philips Media (EU)</x:v>
      </x:c>
      <x:c r="H167" s="9" t="n">
        <x:v>1997</x:v>
      </x:c>
      <x:c r="I167" s="9" t="str">
        <x:v>No</x:v>
      </x:c>
      <x:c r="J167" s="9" t="str">
        <x:v>No</x:v>
      </x:c>
      <x:c r="K167" s="9" t="str">
        <x:v>Yes</x:v>
      </x:c>
      <x:c r="L167" s="9" t="str">
        <x:v>No</x:v>
      </x:c>
      <x:c r="M167" s="9" t="str">
        <x:v>First-person shooter (real-time 3D)</x:v>
      </x:c>
      <x:c r="N167" s="9" t="str">
        <x:v>Pre-rendered CG</x:v>
      </x:c>
      <x:c r="O167" s="9" t="n">
        <x:v>2</x:v>
      </x:c>
      <x:c r="P167" s="9" t="str">
        <x:v>Cutscenes only</x:v>
      </x:c>
      <x:c r="Q167" s="9" t="str">
        <x:v>Released</x:v>
      </x:c>
      <x:c r="R167" s="9" t="str">
        <x:v>Original production; grew out of the online demo Ram Raid</x:v>
      </x:c>
      <x:c r="S167" s="9" t="str">
        <x:v>None</x:v>
      </x:c>
      <x:c r="T167" s="9" t="str">
        <x:v>—</x:v>
      </x:c>
      <x:c r="U167" s="9" t="n">
        <x:v>1</x:v>
      </x:c>
      <x:c r="V167" s="9" t="str">
        <x:v>No (passwords)</x:v>
      </x:c>
      <x:c r="W167" s="9" t="str">
        <x:v>CD-i Digital Video Cartridge: REQUIRED (Black Moon Project). Standard controller.</x:v>
      </x:c>
      <x:c r="X167" s="9" t="str">
        <x:v>Low</x:v>
      </x:c>
      <x:c r="Y167" s="9" t="str"/>
      <x:c r="Z167" s="9" t="str">
        <x:v>Unknown — verify</x:v>
      </x:c>
      <x:c r="AA167" s="9" t="str">
        <x:v>CD-i's late real-time 3D FPS, born as an online demo on a magazine coverdisc.</x:v>
      </x:c>
      <x:c r="AB167" s="9" t="str">
        <x:v>None known</x:v>
      </x:c>
      <x:c r="AC167" s="9" t="str">
        <x:v>MPEG video via DVC; extent of FMV unconfirmed (verify)</x:v>
      </x:c>
      <x:c r="AD167" s="9" t="str">
        <x:v>Unknown — verify</x:v>
      </x:c>
      <x:c r="AE167" s="9" t="str">
        <x:v>Unknown — verify</x:v>
      </x:c>
      <x:c r="AF167" s="9" t="str">
        <x:v>The Ram Raid demo appeared on a CD-Online covermount with CDi Magazine issue 17 (April 1996); the retail game dropped its online features.</x:v>
      </x:c>
      <x:c r="AG167" s="9" t="str">
        <x:v>EU catalogue 8110071</x:v>
      </x:c>
      <x:c r="AH167" s="9" t="str">
        <x:v>No</x:v>
      </x:c>
      <x:c r="AI167" s="9" t="str">
        <x:v>Add-on required</x:v>
      </x:c>
      <x:c r="AJ167" s="9"/>
      <x:c r="AK167" s="9" t="str">
        <x:v>Gameplay is real-time 3D, so the FMV rating is a guess pending confirmation of the video content (verify). The DVC requirement may cover MPEG backgrounds or cutscenes. Not listed on PriceCharting's CD-i page (2026-10-20).</x:v>
      </x:c>
      <x:c r="AL167" s="10"/>
      <x:c r="AM167" s="10"/>
      <x:c r="AN167" s="10"/>
      <x:c r="AO167" s="9"/>
      <x:c r="AP167" s="11" t="str">
        <x:f>HYPERLINK("https://www.pricecharting.com/search-products?q=Atlantis%3A+The+Last+Resort+cd-i&amp;type=prices","PriceCharting")</x:f>
        <x:v>PriceCharting</x:v>
      </x:c>
      <x:c r="AQ167" s="9"/>
      <x:c r="AR167" s="9"/>
      <x:c r="AS167" s="9"/>
      <x:c r="AT167" s="9"/>
      <x:c r="AU167" s="9"/>
      <x:c r="AV167" s="9"/>
      <x:c r="AW167" s="9"/>
      <x:c r="AX167" s="9"/>
      <x:c r="AY167" s="9" t="str">
        <x:v>63%</x:v>
      </x:c>
      <x:c r="AZ167" s="9" t="str">
        <x:v>2.7</x:v>
      </x:c>
      <x:c r="BA167" s="11" t="str">
        <x:f>HYPERLINK("https://www.mobygames.com/game/39713/atlantis-the-last-resort/","MobyGames")</x:f>
        <x:v>MobyGames</x:v>
      </x:c>
      <x:c r="BB167" s="9"/>
      <x:c r="BC167" s="9"/>
      <x:c r="BD167" s="9"/>
      <x:c r="BE167" s="9"/>
      <x:c r="BF167" s="11" t="str">
        <x:f>HYPERLINK("https://backloggd.com/search/games/Atlantis%3A%20The%20Last%20Resort/","Backloggd")</x:f>
        <x:v>Backloggd</x:v>
      </x:c>
      <x:c r="BG167" s="9"/>
      <x:c r="BH167" s="9"/>
      <x:c r="BI167" s="12" t="str">
        <x:v>No</x:v>
      </x:c>
      <x:c r="BJ167" s="12" t="str"/>
      <x:c r="BK167" s="12" t="str">
        <x:v>No</x:v>
      </x:c>
      <x:c r="BL167" s="12" t="str"/>
      <x:c r="BM167" s="12" t="str"/>
      <x:c r="BN167" s="12" t="str"/>
      <x:c r="BO167" s="12" t="str"/>
      <x:c r="BP167" s="12" t="str"/>
      <x:c r="BQ167" s="12" t="str"/>
    </x:row>
    <x:row r="168">
      <x:c r="A168" s="9" t="str">
        <x:v>cdi-23</x:v>
      </x:c>
      <x:c r="B168" s="9" t="str">
        <x:v>earth-command</x:v>
      </x:c>
      <x:c r="C168" s="9" t="str">
        <x:v>Philips CD-i</x:v>
      </x:c>
      <x:c r="D168" s="9" t="str">
        <x:v>Earth Command</x:v>
      </x:c>
      <x:c r="E168" s="9" t="str">
        <x:v>Earth Command: The Future of Our World is in Your Hands</x:v>
      </x:c>
      <x:c r="F168" s="9" t="str">
        <x:v>Visionary Media</x:v>
      </x:c>
      <x:c r="G168" s="9" t="str">
        <x:v>Philips Interactive Media</x:v>
      </x:c>
      <x:c r="H168" s="9" t="n">
        <x:v>1993</x:v>
      </x:c>
      <x:c r="I168" s="9" t="str">
        <x:v>Yes</x:v>
      </x:c>
      <x:c r="J168" s="9" t="str">
        <x:v>No</x:v>
      </x:c>
      <x:c r="K168" s="9" t="str">
        <x:v>Yes</x:v>
      </x:c>
      <x:c r="L168" s="9" t="str">
        <x:v>No</x:v>
      </x:c>
      <x:c r="M168" s="9" t="str">
        <x:v>Ecological strategy simulation</x:v>
      </x:c>
      <x:c r="N168" s="9" t="str">
        <x:v>Live-action</x:v>
      </x:c>
      <x:c r="O168" s="9" t="n">
        <x:v>5</x:v>
      </x:c>
      <x:c r="P168" s="9" t="str">
        <x:v>Interactive movie</x:v>
      </x:c>
      <x:c r="Q168" s="9" t="str">
        <x:v>Released</x:v>
      </x:c>
      <x:c r="R168" s="9" t="str">
        <x:v>Original production using archival news footage</x:v>
      </x:c>
      <x:c r="S168" s="9" t="str">
        <x:v>None known</x:v>
      </x:c>
      <x:c r="T168" s="9" t="str">
        <x:v>—</x:v>
      </x:c>
      <x:c r="U168" s="9" t="n">
        <x:v>1</x:v>
      </x:c>
      <x:c r="V168" s="9" t="str">
        <x:v>No</x:v>
      </x:c>
      <x:c r="W168" s="9" t="str">
        <x:v>CD-i remote (World of CD-i); single player; Digital Video Cartridge not used (World of CD-i). Needs a working Timekeeper (NVRAM/clock) chip: the game tracks your time in post and can hang on a black screen after the intro on players with a dead one.</x:v>
      </x:c>
      <x:c r="X168" s="9" t="str">
        <x:v>Med–High</x:v>
      </x:c>
      <x:c r="Y168" s="9" t="str">
        <x:v>Real news footage reportedly from CNN, Greenpeace and the US government (verify)</x:v>
      </x:c>
      <x:c r="Z168" s="9" t="str">
        <x:v>Open-ended</x:v>
      </x:c>
      <x:c r="AA168" s="9" t="str">
        <x:v>Run a UN space station and react to 500 world crises, each one illustrated with real news footage.</x:v>
      </x:c>
      <x:c r="AB168" s="9" t="str">
        <x:v>None known</x:v>
      </x:c>
      <x:c r="AC168" s="9" t="str">
        <x:v>Video clips for each emergency; size/frame rate unconfirmed (verify)</x:v>
      </x:c>
      <x:c r="AD168" s="9" t="str">
        <x:v>Unknown — verify</x:v>
      </x:c>
      <x:c r="AE168" s="9" t="str">
        <x:v>Open-ended simulation</x:v>
      </x:c>
      <x:c r="AF168" s="9" t="str">
        <x:v>Claimed 500 possible emergencies in 130 countries; Dutch, German and French versions exist.</x:v>
      </x:c>
      <x:c r="AG168" s="9" t="str">
        <x:v>US release, US demo disc, Dutch/German/French versions</x:v>
      </x:c>
      <x:c r="AH168" s="9" t="str">
        <x:v>No</x:v>
      </x:c>
      <x:c r="AI168" s="9" t="str">
        <x:v>Easy</x:v>
      </x:c>
      <x:c r="AJ168" s="9"/>
      <x:c r="AK168" s="9" t="str">
        <x:v>Category is a judgment call: an edutainment sim with video clips. Some players get a black screen after the intro on worn players.</x:v>
      </x:c>
      <x:c r="AL168" s="10" t="n">
        <x:v>10.5</x:v>
      </x:c>
      <x:c r="AM168" s="10" t="n">
        <x:v>27.49</x:v>
      </x:c>
      <x:c r="AN168" s="10" t="n">
        <x:v>55</x:v>
      </x:c>
      <x:c r="AO168" s="9" t="str">
        <x:v>2026-10-20</x:v>
      </x:c>
      <x:c r="AP168" s="11" t="str">
        <x:f>HYPERLINK("https://www.pricecharting.com/game/cd-i/earth-command","PriceCharting")</x:f>
        <x:v>PriceCharting</x:v>
      </x:c>
      <x:c r="AQ168" s="9"/>
      <x:c r="AR168" s="9"/>
      <x:c r="AS168" s="9"/>
      <x:c r="AT168" s="9"/>
      <x:c r="AU168" s="9"/>
      <x:c r="AV168" s="9"/>
      <x:c r="AW168" s="9"/>
      <x:c r="AX168" s="9"/>
      <x:c r="AY168" s="9"/>
      <x:c r="AZ168" s="9"/>
      <x:c r="BA168" s="11" t="str">
        <x:f>HYPERLINK("https://www.mobygames.com/game/39656/earth-command-the-future-of-our-world-is-in-your-hands/","MobyGames")</x:f>
        <x:v>MobyGames</x:v>
      </x:c>
      <x:c r="BB168" s="9"/>
      <x:c r="BC168" s="9"/>
      <x:c r="BD168" s="9"/>
      <x:c r="BE168" s="9"/>
      <x:c r="BF168" s="11" t="str">
        <x:f>HYPERLINK("https://backloggd.com/search/games/Earth%20Command/","Backloggd")</x:f>
        <x:v>Backloggd</x:v>
      </x:c>
      <x:c r="BG168" s="9"/>
      <x:c r="BH168" s="9"/>
      <x:c r="BI168" s="12" t="str">
        <x:v>No</x:v>
      </x:c>
      <x:c r="BJ168" s="12" t="str"/>
      <x:c r="BK168" s="12" t="str">
        <x:v>No</x:v>
      </x:c>
      <x:c r="BL168" s="12" t="str"/>
      <x:c r="BM168" s="12" t="str"/>
      <x:c r="BN168" s="12" t="str"/>
      <x:c r="BO168" s="12" t="str"/>
      <x:c r="BP168" s="12" t="str"/>
      <x:c r="BQ168" s="12" t="str"/>
    </x:row>
    <x:row r="169">
      <x:c r="A169" s="9" t="str">
        <x:v>cdi-24</x:v>
      </x:c>
      <x:c r="B169" s="9" t="str">
        <x:v>tetsuo-gaiden</x:v>
      </x:c>
      <x:c r="C169" s="9" t="str">
        <x:v>Philips CD-i</x:v>
      </x:c>
      <x:c r="D169" s="9" t="str">
        <x:v>Tetsuo Gaiden</x:v>
      </x:c>
      <x:c r="E169" s="9" t="str"/>
      <x:c r="F169" s="9" t="str">
        <x:v>Creative Media</x:v>
      </x:c>
      <x:c r="G169" s="9" t="str">
        <x:v>New Frontier Entertainment</x:v>
      </x:c>
      <x:c r="H169" s="9" t="n">
        <x:v>1997</x:v>
      </x:c>
      <x:c r="I169" s="9" t="str">
        <x:v>No</x:v>
      </x:c>
      <x:c r="J169" s="9" t="str">
        <x:v>No</x:v>
      </x:c>
      <x:c r="K169" s="9" t="str">
        <x:v>Yes</x:v>
      </x:c>
      <x:c r="L169" s="9" t="str">
        <x:v>No</x:v>
      </x:c>
      <x:c r="M169" s="9" t="str">
        <x:v>Shooter</x:v>
      </x:c>
      <x:c r="N169" s="9" t="str">
        <x:v>Pre-rendered CG</x:v>
      </x:c>
      <x:c r="O169" s="9" t="n">
        <x:v>6</x:v>
      </x:c>
      <x:c r="P169" s="9" t="str">
        <x:v>Pre-rendered CG</x:v>
      </x:c>
      <x:c r="Q169" s="9" t="str">
        <x:v>Released</x:v>
      </x:c>
      <x:c r="R169" s="9" t="str">
        <x:v>Original production</x:v>
      </x:c>
      <x:c r="S169" s="9" t="str">
        <x:v>None</x:v>
      </x:c>
      <x:c r="T169" s="9" t="str">
        <x:v>—</x:v>
      </x:c>
      <x:c r="U169" s="9" t="n">
        <x:v>1</x:v>
      </x:c>
      <x:c r="V169" s="9" t="str">
        <x:v>Unknown — verify</x:v>
      </x:c>
      <x:c r="W169" s="9" t="str">
        <x:v>Standard CD-i controller. The World of CD-i lists the Digital Video Cartridge as required; MobyGames says it's optional (FMV asteroid backdrop with it, static starfield without).</x:v>
      </x:c>
      <x:c r="X169" s="9" t="str">
        <x:v>Low</x:v>
      </x:c>
      <x:c r="Y169" s="9" t="str"/>
      <x:c r="Z169" s="9" t="str">
        <x:v>Publisher blurb promises 80+ levels of enemy waves (verify)</x:v>
      </x:c>
      <x:c r="AA169" s="9" t="str">
        <x:v>A late-life CD-i shooter that fans name among the system's last good games.</x:v>
      </x:c>
      <x:c r="AB169" s="9" t="str">
        <x:v>None known</x:v>
      </x:c>
      <x:c r="AC169" s="9" t="str">
        <x:v>Pre-rendered CG video; extent unconfirmed (verify)</x:v>
      </x:c>
      <x:c r="AD169" s="9" t="str">
        <x:v>Unknown — verify</x:v>
      </x:c>
      <x:c r="AE169" s="9" t="str">
        <x:v>Unknown — verify</x:v>
      </x:c>
      <x:c r="AF169" s="9" t="str">
        <x:v>Released after Philips had largely abandoned the CD-i; included in Game Sack's CD-i review.</x:v>
      </x:c>
      <x:c r="AG169" s="9" t="str">
        <x:v>Unknown — verify</x:v>
      </x:c>
      <x:c r="AH169" s="9" t="str">
        <x:v>No</x:v>
      </x:c>
      <x:c r="AI169" s="9" t="str">
        <x:v>Add-on required</x:v>
      </x:c>
      <x:c r="AJ169" s="9"/>
      <x:c r="AK169" s="9" t="str">
        <x:v>Region (EU) and FMV level unconfirmed; developer/publisher from download-site listings only.</x:v>
      </x:c>
      <x:c r="AL169" s="10" t="n">
        <x:v>39.99</x:v>
      </x:c>
      <x:c r="AM169" s="10" t="n">
        <x:v>172.62</x:v>
      </x:c>
      <x:c r="AN169" s="10" t="n">
        <x:v>80.29</x:v>
      </x:c>
      <x:c r="AO169" s="9" t="str">
        <x:v>2026-10-20</x:v>
      </x:c>
      <x:c r="AP169" s="11" t="str">
        <x:f>HYPERLINK("https://www.pricecharting.com/game/cd-i/tetsuo-gaiden","PriceCharting")</x:f>
        <x:v>PriceCharting</x:v>
      </x:c>
      <x:c r="AQ169" s="9"/>
      <x:c r="AR169" s="9"/>
      <x:c r="AS169" s="9"/>
      <x:c r="AT169" s="9"/>
      <x:c r="AU169" s="9"/>
      <x:c r="AV169" s="9"/>
      <x:c r="AW169" s="9"/>
      <x:c r="AX169" s="9"/>
      <x:c r="AY169" s="9" t="str">
        <x:v>70%</x:v>
      </x:c>
      <x:c r="AZ169" s="9" t="str">
        <x:v>3.8</x:v>
      </x:c>
      <x:c r="BA169" s="11" t="str">
        <x:f>HYPERLINK("https://www.mobygames.com/game/40576/tetsuo-gaiden/","MobyGames")</x:f>
        <x:v>MobyGames</x:v>
      </x:c>
      <x:c r="BB169" s="9"/>
      <x:c r="BC169" s="9"/>
      <x:c r="BD169" s="9"/>
      <x:c r="BE169" s="9"/>
      <x:c r="BF169" s="11" t="str">
        <x:f>HYPERLINK("https://backloggd.com/search/games/Tetsuo%20Gaiden/","Backloggd")</x:f>
        <x:v>Backloggd</x:v>
      </x:c>
      <x:c r="BG169" s="9"/>
      <x:c r="BH169" s="9"/>
      <x:c r="BI169" s="12" t="str">
        <x:v>No</x:v>
      </x:c>
      <x:c r="BJ169" s="12" t="str"/>
      <x:c r="BK169" s="12" t="str">
        <x:v>No</x:v>
      </x:c>
      <x:c r="BL169" s="12" t="str"/>
      <x:c r="BM169" s="12" t="str"/>
      <x:c r="BN169" s="12" t="str"/>
      <x:c r="BO169" s="12" t="str"/>
      <x:c r="BP169" s="12" t="str"/>
      <x:c r="BQ169" s="12" t="str"/>
    </x:row>
    <x:row r="170">
      <x:c r="A170" s="9" t="str">
        <x:v>cdi-25</x:v>
      </x:c>
      <x:c r="B170" s="9" t="str">
        <x:v>plunderball</x:v>
      </x:c>
      <x:c r="C170" s="9" t="str">
        <x:v>Philips CD-i</x:v>
      </x:c>
      <x:c r="D170" s="9" t="str">
        <x:v>Plunderball</x:v>
      </x:c>
      <x:c r="E170" s="9" t="str"/>
      <x:c r="F170" s="9" t="str">
        <x:v>ISG Productions (with Philips Interactive Media of America)</x:v>
      </x:c>
      <x:c r="G170" s="9" t="str">
        <x:v>OlderGames</x:v>
      </x:c>
      <x:c r="H170" s="9" t="n">
        <x:v>2002</x:v>
      </x:c>
      <x:c r="I170" s="9" t="str">
        <x:v>Yes</x:v>
      </x:c>
      <x:c r="J170" s="9" t="str">
        <x:v>No</x:v>
      </x:c>
      <x:c r="K170" s="9" t="str">
        <x:v>No</x:v>
      </x:c>
      <x:c r="L170" s="9" t="str">
        <x:v>No</x:v>
      </x:c>
      <x:c r="M170" s="9" t="str">
        <x:v>Video pinball</x:v>
      </x:c>
      <x:c r="N170" s="9" t="str">
        <x:v>Live-action</x:v>
      </x:c>
      <x:c r="O170" s="9" t="n">
        <x:v>3</x:v>
      </x:c>
      <x:c r="P170" s="9" t="str">
        <x:v>Post-cancellation release</x:v>
      </x:c>
      <x:c r="Q170" s="9" t="str">
        <x:v>Released post-cancellation</x:v>
      </x:c>
      <x:c r="R170" s="9" t="str">
        <x:v>Shelved Philips title, released by OlderGames</x:v>
      </x:c>
      <x:c r="S170" s="9" t="str">
        <x:v>None</x:v>
      </x:c>
      <x:c r="T170" s="9" t="str">
        <x:v>Unknown — verify</x:v>
      </x:c>
      <x:c r="U170" s="9" t="n">
        <x:v>1</x:v>
      </x:c>
      <x:c r="V170" s="9" t="str">
        <x:v>Unknown — verify</x:v>
      </x:c>
      <x:c r="W170" s="9" t="str">
        <x:v>Digital Video Cartridge not used (The World of CD-i). Gamepad.</x:v>
      </x:c>
      <x:c r="X170" s="9" t="str">
        <x:v>Low</x:v>
      </x:c>
      <x:c r="Y170" s="9" t="str"/>
      <x:c r="Z170" s="9" t="str">
        <x:v>Score attack</x:v>
      </x:c>
      <x:c r="AA170" s="9" t="str">
        <x:v>A shelved Philips pinball table with sci-fi soap-opera video clips, rescued and released in 2002.</x:v>
      </x:c>
      <x:c r="AB170" s="9" t="str">
        <x:v>None known</x:v>
      </x:c>
      <x:c r="AC170" s="9" t="str">
        <x:v>Short story clips in video lock wells; fmvType live-action assumed (verify)</x:v>
      </x:c>
      <x:c r="AD170" s="9" t="str">
        <x:v>Pinball; ball feels light per one review</x:v>
      </x:c>
      <x:c r="AE170" s="9" t="str">
        <x:v>Story progresses through the clips; no defined ending (verify)</x:v>
      </x:c>
      <x:c r="AF170" s="9" t="str">
        <x:v>Shown in Philips catalogues in the 1990s, then shelved; OlderGames released it in 2002 with three other CD-i titles.</x:v>
      </x:c>
      <x:c r="AG170" s="9" t="str">
        <x:v>OlderGames release only</x:v>
      </x:c>
      <x:c r="AH170" s="9" t="str">
        <x:v>No</x:v>
      </x:c>
      <x:c r="AI170" s="9" t="str">
        <x:v>Easy</x:v>
      </x:c>
      <x:c r="AJ170" s="9"/>
      <x:c r="AK170" s="9" t="str">
        <x:v>Region assumed NA (OlderGames is US-based, verify). Video type unconfirmed. Not listed on PriceCharting's CD-i page (2026-10-20).</x:v>
      </x:c>
      <x:c r="AL170" s="10"/>
      <x:c r="AM170" s="10"/>
      <x:c r="AN170" s="10"/>
      <x:c r="AO170" s="9"/>
      <x:c r="AP170" s="11" t="str">
        <x:f>HYPERLINK("https://www.pricecharting.com/search-products?q=Plunderball+cd-i&amp;type=prices","PriceCharting")</x:f>
        <x:v>PriceCharting</x:v>
      </x:c>
      <x:c r="AQ170" s="9"/>
      <x:c r="AR170" s="9"/>
      <x:c r="AS170" s="9"/>
      <x:c r="AT170" s="9"/>
      <x:c r="AU170" s="9"/>
      <x:c r="AV170" s="9"/>
      <x:c r="AW170" s="9"/>
      <x:c r="AX170" s="9"/>
      <x:c r="AY170" s="9"/>
      <x:c r="AZ170" s="9"/>
      <x:c r="BA170" s="11" t="str">
        <x:f>HYPERLINK("https://www.mobygames.com/search/?q=Plunderball","MobyGames")</x:f>
        <x:v>MobyGames</x:v>
      </x:c>
      <x:c r="BB170" s="9"/>
      <x:c r="BC170" s="9"/>
      <x:c r="BD170" s="9"/>
      <x:c r="BE170" s="9"/>
      <x:c r="BF170" s="11" t="str">
        <x:f>HYPERLINK("https://backloggd.com/search/games/Plunderball/","Backloggd")</x:f>
        <x:v>Backloggd</x:v>
      </x:c>
      <x:c r="BG170" s="9"/>
      <x:c r="BH170" s="9"/>
      <x:c r="BI170" s="12" t="str">
        <x:v>No</x:v>
      </x:c>
      <x:c r="BJ170" s="12" t="str"/>
      <x:c r="BK170" s="12" t="str">
        <x:v>No</x:v>
      </x:c>
      <x:c r="BL170" s="12" t="str"/>
      <x:c r="BM170" s="12" t="str"/>
      <x:c r="BN170" s="12" t="str"/>
      <x:c r="BO170" s="12" t="str"/>
      <x:c r="BP170" s="12" t="str"/>
      <x:c r="BQ170" s="12" t="str"/>
    </x:row>
    <x:row r="171">
      <x:c r="A171" s="9" t="str">
        <x:v>cdi-26</x:v>
      </x:c>
      <x:c r="B171" s="9" t="str">
        <x:v>lords-of-the-rising-sun</x:v>
      </x:c>
      <x:c r="C171" s="9" t="str">
        <x:v>Philips CD-i</x:v>
      </x:c>
      <x:c r="D171" s="9" t="str">
        <x:v>Lords of the Rising Sun</x:v>
      </x:c>
      <x:c r="E171" s="9" t="str"/>
      <x:c r="F171" s="9" t="str">
        <x:v>Cinemaware (original); CD-i port by Philips P.O.V. Entertainment Group (MobyGames)</x:v>
      </x:c>
      <x:c r="G171" s="9" t="str">
        <x:v>Philips Interactive Media</x:v>
      </x:c>
      <x:c r="H171" s="9" t="n">
        <x:v>1992</x:v>
      </x:c>
      <x:c r="I171" s="9" t="str">
        <x:v>Yes</x:v>
      </x:c>
      <x:c r="J171" s="9" t="str">
        <x:v>No</x:v>
      </x:c>
      <x:c r="K171" s="9" t="str">
        <x:v>Yes</x:v>
      </x:c>
      <x:c r="L171" s="9" t="str">
        <x:v>No</x:v>
      </x:c>
      <x:c r="M171" s="9" t="str">
        <x:v>Strategy / action</x:v>
      </x:c>
      <x:c r="N171" s="9" t="str">
        <x:v>Live-action</x:v>
      </x:c>
      <x:c r="O171" s="9" t="n">
        <x:v>2</x:v>
      </x:c>
      <x:c r="P171" s="9" t="str">
        <x:v>Cutscenes only</x:v>
      </x:c>
      <x:c r="Q171" s="9" t="str">
        <x:v>Released</x:v>
      </x:c>
      <x:c r="R171" s="9" t="str">
        <x:v>Amiga original (Cinemaware, 1989)</x:v>
      </x:c>
      <x:c r="S171" s="9" t="str">
        <x:v>Amiga, TurboGrafx-CD/PC Engine CD</x:v>
      </x:c>
      <x:c r="T171" s="9" t="str">
        <x:v>Linda Igrashi (Princess), Ernest Harada (Emperor); others in MobyGames CD-i credits (spelling: verify)</x:v>
      </x:c>
      <x:c r="U171" s="9" t="n">
        <x:v>1</x:v>
      </x:c>
      <x:c r="V171" s="9" t="str">
        <x:v>Unknown — verify</x:v>
      </x:c>
      <x:c r="W171" s="9" t="str">
        <x:v>CD-i Digital Video Cartridge: not used (1992 release predates DVC). Standard controller.</x:v>
      </x:c>
      <x:c r="X171" s="9" t="str">
        <x:v>Low</x:v>
      </x:c>
      <x:c r="Y171" s="9" t="str"/>
      <x:c r="Z171" s="9" t="str">
        <x:v>3–6 hr</x:v>
      </x:c>
      <x:c r="AA171" s="9" t="str">
        <x:v>Cinemaware's samurai war game remade for CD-i with live-actor video and voice acting.</x:v>
      </x:c>
      <x:c r="AB171" s="9" t="str">
        <x:v>None known</x:v>
      </x:c>
      <x:c r="AC171" s="9" t="str">
        <x:v>Base-case video sequences with live actors (per one listing — verify)</x:v>
      </x:c>
      <x:c r="AD171" s="9" t="str">
        <x:v>Hard strategy with arcade sections</x:v>
      </x:c>
      <x:c r="AE171" s="9" t="str">
        <x:v>Win as shogun or lose</x:v>
      </x:c>
      <x:c r="AF171" s="9" t="str">
        <x:v>Case says 1991 but the discs say 1992; it has 51 historical castles, 5 clans and 5 arcade sub-games.</x:v>
      </x:c>
      <x:c r="AG171" s="9" t="str">
        <x:v>EU and US versions</x:v>
      </x:c>
      <x:c r="AH171" s="9" t="str">
        <x:v>No (Amiga version on some Cinemaware collections — verify)</x:v>
      </x:c>
      <x:c r="AI171" s="9" t="str">
        <x:v>Easy</x:v>
      </x:c>
      <x:c r="AJ171" s="9"/>
      <x:c r="AK171" s="9" t="str">
        <x:v>Live-actor FMV claim comes from one listing; confirm. The MobyGames URL is the general game page (www.mobygames.com/game/7288), not CD-i-specific.</x:v>
      </x:c>
      <x:c r="AL171" s="10" t="n">
        <x:v>12.76</x:v>
      </x:c>
      <x:c r="AM171" s="10" t="n">
        <x:v>31.49</x:v>
      </x:c>
      <x:c r="AN171" s="10" t="n">
        <x:v>63</x:v>
      </x:c>
      <x:c r="AO171" s="9" t="str">
        <x:v>2026-10-20</x:v>
      </x:c>
      <x:c r="AP171" s="11" t="str">
        <x:f>HYPERLINK("https://www.pricecharting.com/game/cd-i/lords-of-the-rising-sun","PriceCharting")</x:f>
        <x:v>PriceCharting</x:v>
      </x:c>
      <x:c r="AQ171" s="9"/>
      <x:c r="AR171" s="9"/>
      <x:c r="AS171" s="9"/>
      <x:c r="AT171" s="9"/>
      <x:c r="AU171" s="9"/>
      <x:c r="AV171" s="9"/>
      <x:c r="AW171" s="9"/>
      <x:c r="AX171" s="9"/>
      <x:c r="AY171" s="9" t="str">
        <x:v>63%</x:v>
      </x:c>
      <x:c r="AZ171" s="9"/>
      <x:c r="BA171" s="11" t="str">
        <x:f>HYPERLINK("https://www.mobygames.com/game/7288","MobyGames")</x:f>
        <x:v>MobyGames</x:v>
      </x:c>
      <x:c r="BB171" s="9"/>
      <x:c r="BC171" s="9"/>
      <x:c r="BD171" s="9"/>
      <x:c r="BE171" s="11" t="str">
        <x:f>HYPERLINK("https://en.wikipedia.org/wiki/Lords_of_the_Rising_Sun","Wikipedia")</x:f>
        <x:v>Wikipedia</x:v>
      </x:c>
      <x:c r="BF171" s="11" t="str">
        <x:f>HYPERLINK("https://backloggd.com/search/games/Lords%20of%20the%20Rising%20Sun/","Backloggd")</x:f>
        <x:v>Backloggd</x:v>
      </x:c>
      <x:c r="BG171" s="9"/>
      <x:c r="BH171" s="9"/>
      <x:c r="BI171" s="12" t="str">
        <x:v>No</x:v>
      </x:c>
      <x:c r="BJ171" s="12" t="str"/>
      <x:c r="BK171" s="12" t="str">
        <x:v>No</x:v>
      </x:c>
      <x:c r="BL171" s="12" t="str"/>
      <x:c r="BM171" s="12" t="str"/>
      <x:c r="BN171" s="12" t="str"/>
      <x:c r="BO171" s="12" t="str"/>
      <x:c r="BP171" s="12" t="str"/>
      <x:c r="BQ171" s="12" t="str"/>
    </x:row>
    <x:row r="172">
      <x:c r="A172" s="9" t="str">
        <x:v>cdi-27</x:v>
      </x:c>
      <x:c r="B172" s="9" t="str">
        <x:v>chaos-control</x:v>
      </x:c>
      <x:c r="C172" s="9" t="str">
        <x:v>Philips CD-i</x:v>
      </x:c>
      <x:c r="D172" s="9" t="str">
        <x:v>Chaos Control</x:v>
      </x:c>
      <x:c r="E172" s="9" t="str"/>
      <x:c r="F172" s="9" t="str">
        <x:v>Infogrames Multimedia (with Philips Interactive Media France)</x:v>
      </x:c>
      <x:c r="G172" s="9" t="str">
        <x:v>Philips Interactive Media</x:v>
      </x:c>
      <x:c r="H172" s="9" t="n">
        <x:v>1995</x:v>
      </x:c>
      <x:c r="I172" s="9" t="str">
        <x:v>Yes</x:v>
      </x:c>
      <x:c r="J172" s="9" t="str">
        <x:v>No</x:v>
      </x:c>
      <x:c r="K172" s="9" t="str">
        <x:v>Yes</x:v>
      </x:c>
      <x:c r="L172" s="9" t="str">
        <x:v>No</x:v>
      </x:c>
      <x:c r="M172" s="9" t="str">
        <x:v>Rail shooter</x:v>
      </x:c>
      <x:c r="N172" s="9" t="str">
        <x:v>Pre-rendered CG</x:v>
      </x:c>
      <x:c r="O172" s="9" t="n">
        <x:v>9</x:v>
      </x:c>
      <x:c r="P172" s="9" t="str">
        <x:v>Pre-rendered CG</x:v>
      </x:c>
      <x:c r="Q172" s="9" t="str">
        <x:v>Released</x:v>
      </x:c>
      <x:c r="R172" s="9" t="str">
        <x:v>Original production (CD-i first, per Sega Retro)</x:v>
      </x:c>
      <x:c r="S172" s="9" t="str">
        <x:v>MS-DOS, Mac, Saturn (incl. JP Chaos Control Remix), PlayStation</x:v>
      </x:c>
      <x:c r="T172" s="9" t="str">
        <x:v>—</x:v>
      </x:c>
      <x:c r="U172" s="9" t="n">
        <x:v>1</x:v>
      </x:c>
      <x:c r="V172" s="9" t="str">
        <x:v>No</x:v>
      </x:c>
      <x:c r="W172" s="9" t="str">
        <x:v>CD-i Digital Video Cartridge REQUIRED (MPEG video). Gamepad or pointing device for the reticule; light gun support on CD-i not confirmed (verify).</x:v>
      </x:c>
      <x:c r="X172" s="9" t="str">
        <x:v>Low</x:v>
      </x:c>
      <x:c r="Y172" s="9" t="str"/>
      <x:c r="Z172" s="9" t="str">
        <x:v>30–60 min</x:v>
      </x:c>
      <x:c r="AA172" s="9" t="str">
        <x:v>Philips' showcase DV rail shooter: you aim a crosshair over pre-rendered MPEG flythroughs while Lt. Jessica Darkhill saves Earth in 2071.</x:v>
      </x:c>
      <x:c r="AB172" s="9" t="str">
        <x:v>None known (TCRF has a CD-i page with unused content; no codes confirmed — verify)</x:v>
      </x:c>
      <x:c r="AC172" s="9" t="str">
        <x:v>Full-screen MPEG-1 via the DVC, roughly 25–30 fps (verify); considered more textured than the PC/Mac versions</x:v>
      </x:c>
      <x:c r="AD172" s="9" t="str">
        <x:v>Short but hit-heavy; guns overheat if you hold fire</x:v>
      </x:c>
      <x:c r="AE172" s="9" t="str">
        <x:v>Single ending</x:v>
      </x:c>
      <x:c r="AF172" s="9" t="str">
        <x:v>Destroyed enemies cannot vanish from the pre-rendered video, so the game covers them with a smoke cloud instead. Sequel Solar Crusade reached CD-i only in 1999.</x:v>
      </x:c>
      <x:c r="AG172" s="9" t="str">
        <x:v>US and EU releases June 1995 (TCRF); later ports to Saturn/PS1/PC</x:v>
      </x:c>
      <x:c r="AH172" s="9" t="str">
        <x:v>No</x:v>
      </x:c>
      <x:c r="AI172" s="9" t="str">
        <x:v>Add-on required</x:v>
      </x:c>
      <x:c r="AJ172" s="9"/>
      <x:c r="AK172" s="9" t="str">
        <x:v>Release June/July 1995 US+EU. MobyGames' 58% critic average covers all platforms, not the CD-i version alone, so it is left blank.</x:v>
      </x:c>
      <x:c r="AL172" s="10" t="n">
        <x:v>16.74</x:v>
      </x:c>
      <x:c r="AM172" s="10" t="n">
        <x:v>24.99</x:v>
      </x:c>
      <x:c r="AN172" s="10" t="n">
        <x:v>32.39</x:v>
      </x:c>
      <x:c r="AO172" s="9" t="str">
        <x:v>2026-10-20</x:v>
      </x:c>
      <x:c r="AP172" s="11" t="str">
        <x:f>HYPERLINK("https://www.pricecharting.com/game/cd-i/chaos-control","PriceCharting")</x:f>
        <x:v>PriceCharting</x:v>
      </x:c>
      <x:c r="AQ172" s="9"/>
      <x:c r="AR172" s="9"/>
      <x:c r="AS172" s="9"/>
      <x:c r="AT172" s="9"/>
      <x:c r="AU172" s="9"/>
      <x:c r="AV172" s="9"/>
      <x:c r="AW172" s="9"/>
      <x:c r="AX172" s="9"/>
      <x:c r="AY172" s="9"/>
      <x:c r="AZ172" s="9"/>
      <x:c r="BA172" s="11" t="str">
        <x:f>HYPERLINK("https://www.mobygames.com/game/16340/chaos-control/","MobyGames")</x:f>
        <x:v>MobyGames</x:v>
      </x:c>
      <x:c r="BB172" s="9"/>
      <x:c r="BC172" s="9"/>
      <x:c r="BD172" s="9"/>
      <x:c r="BE172" s="11" t="str">
        <x:f>HYPERLINK("https://en.wikipedia.org/wiki/Chaos_Control_(video_game)","Wikipedia")</x:f>
        <x:v>Wikipedia</x:v>
      </x:c>
      <x:c r="BF172" s="11" t="str">
        <x:f>HYPERLINK("https://backloggd.com/search/games/Chaos%20Control/","Backloggd")</x:f>
        <x:v>Backloggd</x:v>
      </x:c>
      <x:c r="BG172" s="9"/>
      <x:c r="BH172" s="9"/>
      <x:c r="BI172" s="12" t="str">
        <x:v>No</x:v>
      </x:c>
      <x:c r="BJ172" s="12" t="str"/>
      <x:c r="BK172" s="12" t="str">
        <x:v>No</x:v>
      </x:c>
      <x:c r="BL172" s="12" t="str"/>
      <x:c r="BM172" s="12" t="str"/>
      <x:c r="BN172" s="12" t="str"/>
      <x:c r="BO172" s="12" t="str"/>
      <x:c r="BP172" s="12" t="str"/>
      <x:c r="BQ172" s="12" t="str"/>
    </x:row>
    <x:row r="173">
      <x:c r="A173" s="9" t="str">
        <x:v>cdi-28</x:v>
      </x:c>
      <x:c r="B173" s="9" t="str">
        <x:v>freedom-fighter</x:v>
      </x:c>
      <x:c r="C173" s="9" t="str">
        <x:v>Philips CD-i</x:v>
      </x:c>
      <x:c r="D173" s="9" t="str">
        <x:v>Escape from CyberCity</x:v>
      </x:c>
      <x:c r="E173" s="9" t="str">
        <x:v>Freedom Fighter (arcade original)</x:v>
      </x:c>
      <x:c r="F173" s="9" t="str">
        <x:v>Fathom Pictures</x:v>
      </x:c>
      <x:c r="G173" s="9" t="str">
        <x:v>Philips Interactive Media</x:v>
      </x:c>
      <x:c r="H173" s="9" t="n">
        <x:v>1992</x:v>
      </x:c>
      <x:c r="I173" s="9" t="str">
        <x:v>Yes</x:v>
      </x:c>
      <x:c r="J173" s="9" t="str">
        <x:v>No</x:v>
      </x:c>
      <x:c r="K173" s="9" t="str">
        <x:v>Yes</x:v>
      </x:c>
      <x:c r="L173" s="9" t="str">
        <x:v>No</x:v>
      </x:c>
      <x:c r="M173" s="9" t="str">
        <x:v>Interactive animated shooter / laserdisc-style</x:v>
      </x:c>
      <x:c r="N173" s="9" t="str">
        <x:v>Animated</x:v>
      </x:c>
      <x:c r="O173" s="9" t="n">
        <x:v>10</x:v>
      </x:c>
      <x:c r="P173" s="9" t="str">
        <x:v>Laserdisc port</x:v>
      </x:c>
      <x:c r="Q173" s="9" t="str">
        <x:v>Released</x:v>
      </x:c>
      <x:c r="R173" s="9" t="str">
        <x:v>1987 laserdisc arcade game Freedom Fighter, built from Toei Animation's Galaxy Express 999 / Adieu Galaxy Express 999 footage</x:v>
      </x:c>
      <x:c r="S173" s="9" t="str">
        <x:v>Arcade (as Freedom Fighter)</x:v>
      </x:c>
      <x:c r="T173" s="9" t="str">
        <x:v>—</x:v>
      </x:c>
      <x:c r="U173" s="9" t="n">
        <x:v>1</x:v>
      </x:c>
      <x:c r="V173" s="9" t="str">
        <x:v>No</x:v>
      </x:c>
      <x:c r="W173" s="9" t="str">
        <x:v>Digital Video Cartridge not used (The World of CD-i). Gamepad or mouse listed (The World of CD-i); the Video Game Critic couldn't get the light gun to work, so it isn't supported as far as anyone has found.</x:v>
      </x:c>
      <x:c r="X173" s="9" t="str">
        <x:v>HIGH</x:v>
      </x:c>
      <x:c r="Y173" s="9" t="str">
        <x:v>Re-edited footage from Toei's Galaxy Express 999 films</x:v>
      </x:c>
      <x:c r="Z173" s="9" t="str">
        <x:v>Under 30 min</x:v>
      </x:c>
      <x:c r="AA173" s="9" t="str">
        <x:v>A full-screen anime laserdisc game squeezed onto a 1992 CD-i with no MPEG card: Galaxy Express 999 footage rebadged for the West.</x:v>
      </x:c>
      <x:c r="AB173" s="9" t="str">
        <x:v>None known</x:v>
      </x:c>
      <x:c r="AC173" s="9" t="str">
        <x:v>Full-screen cel animation using the CD-i's native (non-MPEG) video; lost much footage versus the laserdisc due to hardware limits (TCRF)</x:v>
      </x:c>
      <x:c r="AD173" s="9" t="str">
        <x:v>Very hard: three lives, no pause, clumsy aiming, some enemy positions randomized</x:v>
      </x:c>
      <x:c r="AE173" s="9" t="str">
        <x:v>Single ending; wrong choices at intersections end in arrest or death</x:v>
      </x:c>
      <x:c r="AF173" s="9" t="str">
        <x:v>A sequel, Return to CyberCity, was in development for CD-i and PC; a 1995 PC beta disc surfaced at a thrift store in 2023.</x:v>
      </x:c>
      <x:c r="AG173" s="9" t="str">
        <x:v>Regional catalogue numbers differ (NA/EU)</x:v>
      </x:c>
      <x:c r="AH173" s="9" t="str">
        <x:v>No</x:v>
      </x:c>
      <x:c r="AI173" s="9" t="str">
        <x:v>Easy</x:v>
      </x:c>
      <x:c r="AJ173" s="9"/>
      <x:c r="AK173" s="9" t="str">
        <x:v>Video Game Critic grade D; World of CD-i review 7.3/10. Not a DVC title. Strong Content ID risk because the source is a commercial anime film.</x:v>
      </x:c>
      <x:c r="AL173" s="10" t="n">
        <x:v>10</x:v>
      </x:c>
      <x:c r="AM173" s="10" t="n">
        <x:v>17.6</x:v>
      </x:c>
      <x:c r="AN173" s="10" t="n">
        <x:v>21.93</x:v>
      </x:c>
      <x:c r="AO173" s="9" t="str">
        <x:v>2026-10-20</x:v>
      </x:c>
      <x:c r="AP173" s="11" t="str">
        <x:f>HYPERLINK("https://www.pricecharting.com/game/cd-i/escape-from-cybercity","PriceCharting")</x:f>
        <x:v>PriceCharting</x:v>
      </x:c>
      <x:c r="AQ173" s="9"/>
      <x:c r="AR173" s="9"/>
      <x:c r="AS173" s="9"/>
      <x:c r="AT173" s="9"/>
      <x:c r="AU173" s="9"/>
      <x:c r="AV173" s="9"/>
      <x:c r="AW173" s="9"/>
      <x:c r="AX173" s="9"/>
      <x:c r="AY173" s="9" t="str">
        <x:v>60%</x:v>
      </x:c>
      <x:c r="AZ173" s="9"/>
      <x:c r="BA173" s="11" t="str">
        <x:f>HYPERLINK("https://www.mobygames.com/game/21664/freedom-fighter/","MobyGames")</x:f>
        <x:v>MobyGames</x:v>
      </x:c>
      <x:c r="BB173" s="9"/>
      <x:c r="BC173" s="9"/>
      <x:c r="BD173" s="9"/>
      <x:c r="BE173" s="9"/>
      <x:c r="BF173" s="11" t="str">
        <x:f>HYPERLINK("https://backloggd.com/search/games/Escape%20from%20CyberCity/","Backloggd")</x:f>
        <x:v>Backloggd</x:v>
      </x:c>
      <x:c r="BG173" s="9"/>
      <x:c r="BH173" s="9"/>
      <x:c r="BI173" s="12" t="str">
        <x:v>No</x:v>
      </x:c>
      <x:c r="BJ173" s="12" t="str"/>
      <x:c r="BK173" s="12" t="str">
        <x:v>No</x:v>
      </x:c>
      <x:c r="BL173" s="12" t="str"/>
      <x:c r="BM173" s="12" t="str"/>
      <x:c r="BN173" s="12" t="str"/>
      <x:c r="BO173" s="12" t="str"/>
      <x:c r="BP173" s="12" t="str"/>
      <x:c r="BQ173" s="12" t="str"/>
    </x:row>
    <x:row r="174">
      <x:c r="A174" s="9" t="str">
        <x:v>cdi-29</x:v>
      </x:c>
      <x:c r="B174" s="9" t="str">
        <x:v>rise-of-the-robots</x:v>
      </x:c>
      <x:c r="C174" s="9" t="str">
        <x:v>Philips CD-i</x:v>
      </x:c>
      <x:c r="D174" s="9" t="str">
        <x:v>Rise of the Robots</x:v>
      </x:c>
      <x:c r="E174" s="9" t="str"/>
      <x:c r="F174" s="9" t="str">
        <x:v>Instinct Design / Mirage Technologies (producer)</x:v>
      </x:c>
      <x:c r="G174" s="9" t="str">
        <x:v>Philips Media</x:v>
      </x:c>
      <x:c r="H174" s="9" t="n">
        <x:v>1994</x:v>
      </x:c>
      <x:c r="I174" s="9" t="str">
        <x:v>No</x:v>
      </x:c>
      <x:c r="J174" s="9" t="str">
        <x:v>No</x:v>
      </x:c>
      <x:c r="K174" s="9" t="str">
        <x:v>Yes</x:v>
      </x:c>
      <x:c r="L174" s="9" t="str">
        <x:v>No</x:v>
      </x:c>
      <x:c r="M174" s="9" t="str">
        <x:v>Fighting</x:v>
      </x:c>
      <x:c r="N174" s="9" t="str">
        <x:v>Pre-rendered CG</x:v>
      </x:c>
      <x:c r="O174" s="9" t="n">
        <x:v>2</x:v>
      </x:c>
      <x:c r="P174" s="9" t="str">
        <x:v>Cutscenes only</x:v>
      </x:c>
      <x:c r="Q174" s="9" t="str">
        <x:v>Released</x:v>
      </x:c>
      <x:c r="R174" s="9" t="str">
        <x:v>PC/Amiga original by Mirage</x:v>
      </x:c>
      <x:c r="S174" s="9" t="str">
        <x:v>MS-DOS, Amiga, Amiga CD32, SNES, Mega Drive, Game Gear, 3DO, Game Boy</x:v>
      </x:c>
      <x:c r="T174" s="9" t="str">
        <x:v>—</x:v>
      </x:c>
      <x:c r="U174" s="9" t="n">
        <x:v>1</x:v>
      </x:c>
      <x:c r="V174" s="9" t="str">
        <x:v>Unknown — verify</x:v>
      </x:c>
      <x:c r="W174" s="9" t="str">
        <x:v>CD-i Digital Video Cartridge REQUIRED (World of CD-i and MobyGames 'DVC Required'). Gamepad; two players may need a controller splitter.</x:v>
      </x:c>
      <x:c r="X174" s="9" t="str">
        <x:v>Med</x:v>
      </x:c>
      <x:c r="Y174" s="9" t="str">
        <x:v>Brian May (Queen) intro/incidental music</x:v>
      </x:c>
      <x:c r="Z174" s="9" t="str">
        <x:v>30–60 min</x:v>
      </x:c>
      <x:c r="AA174" s="9" t="str">
        <x:v>The infamous over-hyped CG fighter, on a CD-i that needs the MPEG cartridge just to play it.</x:v>
      </x:c>
      <x:c r="AB174" s="9" t="str">
        <x:v>None known</x:v>
      </x:c>
      <x:c r="AC174" s="9" t="str">
        <x:v>MPEG pre-rendered CG intro/cutscenes via the DVC (frame rate and window size — verify)</x:v>
      </x:c>
      <x:c r="AD174" s="9" t="str">
        <x:v>Single attack button and stiff AI; notoriously poor balance</x:v>
      </x:c>
      <x:c r="AE174" s="9" t="str">
        <x:v>Single ending</x:v>
      </x:c>
      <x:c r="AF174" s="9" t="str">
        <x:v>Programmer Peter Dabbs later wrote the CD-iCE emulator, whose preview could run only this disc.</x:v>
      </x:c>
      <x:c r="AG174" s="9" t="str">
        <x:v>Europe-only release</x:v>
      </x:c>
      <x:c r="AH174" s="9" t="str">
        <x:v>No</x:v>
      </x:c>
      <x:c r="AI174" s="9" t="str">
        <x:v>Add-on required</x:v>
      </x:c>
      <x:c r="AJ174" s="9"/>
      <x:c r="AK174" s="9" t="str">
        <x:v>Release date conflict: Wikipedia says 1 June 1994 (citation needed); a period Philips magazine says 1995. Europe-only. Exact FMV content (intro only vs. cutscenes) needs verification. MobyGames shows a Moby Score 5.2 (not a critic %), so scores left blank.</x:v>
      </x:c>
      <x:c r="AL174" s="10" t="n">
        <x:v>19.44</x:v>
      </x:c>
      <x:c r="AM174" s="10" t="n">
        <x:v>22.5</x:v>
      </x:c>
      <x:c r="AN174" s="10" t="n">
        <x:v>36.88</x:v>
      </x:c>
      <x:c r="AO174" s="9" t="str">
        <x:v>2026-10-20</x:v>
      </x:c>
      <x:c r="AP174" s="11" t="str">
        <x:f>HYPERLINK("https://www.pricecharting.com/game/cd-i/rise-of-the-robots","PriceCharting")</x:f>
        <x:v>PriceCharting</x:v>
      </x:c>
      <x:c r="AQ174" s="9"/>
      <x:c r="AR174" s="9"/>
      <x:c r="AS174" s="9"/>
      <x:c r="AT174" s="9"/>
      <x:c r="AU174" s="9"/>
      <x:c r="AV174" s="9"/>
      <x:c r="AW174" s="9"/>
      <x:c r="AX174" s="9"/>
      <x:c r="AY174" s="9"/>
      <x:c r="AZ174" s="9"/>
      <x:c r="BA174" s="11" t="str">
        <x:f>HYPERLINK("https://www.mobygames.com/game/1533/rise-of-the-robots/","MobyGames")</x:f>
        <x:v>MobyGames</x:v>
      </x:c>
      <x:c r="BB174" s="9" t="str">
        <x:v>48%</x:v>
      </x:c>
      <x:c r="BC174" s="9" t="str">
        <x:v>average of 2 reviews on Wikipedia (CD-i, Power Unlimited)</x:v>
      </x:c>
      <x:c r="BD174" s="9" t="str">
        <x:f>HYPERLINK("https://en.wikipedia.org/wiki/Rise_of_the_Robots","Source")</x:f>
        <x:v>Source</x:v>
      </x:c>
      <x:c r="BE174" s="11" t="str">
        <x:f>HYPERLINK("https://en.wikipedia.org/wiki/Rise_of_the_Robots","Wikipedia")</x:f>
        <x:v>Wikipedia</x:v>
      </x:c>
      <x:c r="BF174" s="11" t="str">
        <x:f>HYPERLINK("https://backloggd.com/search/games/Rise%20of%20the%20Robots/","Backloggd")</x:f>
        <x:v>Backloggd</x:v>
      </x:c>
      <x:c r="BG174" s="9"/>
      <x:c r="BH174" s="9"/>
      <x:c r="BI174" s="12" t="str">
        <x:v>No</x:v>
      </x:c>
      <x:c r="BJ174" s="12" t="str"/>
      <x:c r="BK174" s="12" t="str">
        <x:v>No</x:v>
      </x:c>
      <x:c r="BL174" s="12" t="str"/>
      <x:c r="BM174" s="12" t="str"/>
      <x:c r="BN174" s="12" t="str"/>
      <x:c r="BO174" s="12" t="str"/>
      <x:c r="BP174" s="12" t="str"/>
      <x:c r="BQ174" s="12" t="str"/>
    </x:row>
    <x:row r="175">
      <x:c r="A175" s="9" t="str">
        <x:v>cdi-30</x:v>
      </x:c>
      <x:c r="B175" s="9" t="str">
        <x:v>creature-shock</x:v>
      </x:c>
      <x:c r="C175" s="9" t="str">
        <x:v>Philips CD-i</x:v>
      </x:c>
      <x:c r="D175" s="9" t="str">
        <x:v>Creature Shock</x:v>
      </x:c>
      <x:c r="E175" s="9" t="str"/>
      <x:c r="F175" s="9" t="str">
        <x:v>Argonaut Software</x:v>
      </x:c>
      <x:c r="G175" s="9" t="str">
        <x:v>Virgin Interactive</x:v>
      </x:c>
      <x:c r="H175" s="9" t="n">
        <x:v>1997</x:v>
      </x:c>
      <x:c r="I175" s="9" t="str">
        <x:v>No</x:v>
      </x:c>
      <x:c r="J175" s="9" t="str">
        <x:v>No</x:v>
      </x:c>
      <x:c r="K175" s="9" t="str">
        <x:v>Yes</x:v>
      </x:c>
      <x:c r="L175" s="9" t="str">
        <x:v>No</x:v>
      </x:c>
      <x:c r="M175" s="9" t="str">
        <x:v>FMV first-person shooter</x:v>
      </x:c>
      <x:c r="N175" s="9" t="str">
        <x:v>Pre-rendered CG</x:v>
      </x:c>
      <x:c r="O175" s="9" t="n">
        <x:v>8</x:v>
      </x:c>
      <x:c r="P175" s="9" t="str">
        <x:v>Pre-rendered CG</x:v>
      </x:c>
      <x:c r="Q175" s="9" t="str">
        <x:v>Released</x:v>
      </x:c>
      <x:c r="R175" s="9" t="str">
        <x:v>1994 PC/3DO original</x:v>
      </x:c>
      <x:c r="S175" s="9" t="str">
        <x:v>MS-DOS, 3DO, Saturn (Special Edition), PlayStation</x:v>
      </x:c>
      <x:c r="T175" s="9" t="str">
        <x:v>—</x:v>
      </x:c>
      <x:c r="U175" s="9" t="n">
        <x:v>2</x:v>
      </x:c>
      <x:c r="V175" s="9" t="str">
        <x:v>Unknown — verify</x:v>
      </x:c>
      <x:c r="W175" s="9" t="str">
        <x:v>CD-i Digital Video Cartridge REQUIRED (MobyGames 'DVC Required'). Mouse recommended over gamepad for aiming.</x:v>
      </x:c>
      <x:c r="X175" s="9" t="str">
        <x:v>Low</x:v>
      </x:c>
      <x:c r="Y175" s="9" t="str"/>
      <x:c r="Z175" s="9" t="str">
        <x:v>1–2 hr</x:v>
      </x:c>
      <x:c r="AA175" s="9" t="str">
        <x:v>One of the last CD-i releases: Argonaut's CG alien-blasting shooter cut down to just its FMV gun sections.</x:v>
      </x:c>
      <x:c r="AB175" s="9" t="str">
        <x:v>Level select: on the main menu hold Button 2 and press Button 1 in each corner, then spell CHEAT with the title letters (per World of CD-i/TCRF; verify)</x:v>
      </x:c>
      <x:c r="AC175" s="9" t="str">
        <x:v>MPEG pre-rendered CG via DVC (window size/frame rate — verify)</x:v>
      </x:c>
      <x:c r="AD175" s="9" t="str">
        <x:v>Moderate; aim at weak spots on creatures</x:v>
      </x:c>
      <x:c r="AE175" s="9" t="str">
        <x:v>Single ending</x:v>
      </x:c>
      <x:c r="AF175" s="9" t="str">
        <x:v>The flight sections of the PC/3DO original were dropped on CD-i, leaving only the first-person FMV shooting stages.</x:v>
      </x:c>
      <x:c r="AG175" s="9" t="str">
        <x:v>PAL-only jewel-case release (FR, DE, NL, UK)</x:v>
      </x:c>
      <x:c r="AH175" s="9" t="str">
        <x:v>No</x:v>
      </x:c>
      <x:c r="AI175" s="9" t="str">
        <x:v>Add-on required</x:v>
      </x:c>
      <x:c r="AJ175" s="9"/>
      <x:c r="AK175" s="9" t="str">
        <x:v>Europe 1997, two discs (The World of CD-i).</x:v>
      </x:c>
      <x:c r="AL175" s="10" t="n">
        <x:v>25.78</x:v>
      </x:c>
      <x:c r="AM175" s="10" t="n">
        <x:v>43.35</x:v>
      </x:c>
      <x:c r="AN175" s="10" t="n">
        <x:v>87</x:v>
      </x:c>
      <x:c r="AO175" s="9" t="str">
        <x:v>2026-10-20</x:v>
      </x:c>
      <x:c r="AP175" s="11" t="str">
        <x:f>HYPERLINK("https://www.pricecharting.com/game/cd-i/creature-shock","PriceCharting")</x:f>
        <x:v>PriceCharting</x:v>
      </x:c>
      <x:c r="AQ175" s="9"/>
      <x:c r="AR175" s="9"/>
      <x:c r="AS175" s="9"/>
      <x:c r="AT175" s="9"/>
      <x:c r="AU175" s="9"/>
      <x:c r="AV175" s="9"/>
      <x:c r="AW175" s="9"/>
      <x:c r="AX175" s="9"/>
      <x:c r="AY175" s="9"/>
      <x:c r="AZ175" s="9"/>
      <x:c r="BA175" s="11" t="str">
        <x:f>HYPERLINK("https://www.mobygames.com/game/2122/creature-shock/","MobyGames")</x:f>
        <x:v>MobyGames</x:v>
      </x:c>
      <x:c r="BB175" s="9"/>
      <x:c r="BC175" s="9"/>
      <x:c r="BD175" s="9"/>
      <x:c r="BE175" s="11" t="str">
        <x:f>HYPERLINK("https://en.wikipedia.org/wiki/Creature_Shock","Wikipedia")</x:f>
        <x:v>Wikipedia</x:v>
      </x:c>
      <x:c r="BF175" s="11" t="str">
        <x:f>HYPERLINK("https://backloggd.com/search/games/Creature%20Shock/","Backloggd")</x:f>
        <x:v>Backloggd</x:v>
      </x:c>
      <x:c r="BG175" s="9"/>
      <x:c r="BH175" s="9"/>
      <x:c r="BI175" s="12" t="str">
        <x:v>No</x:v>
      </x:c>
      <x:c r="BJ175" s="12" t="str"/>
      <x:c r="BK175" s="12" t="str">
        <x:v>No</x:v>
      </x:c>
      <x:c r="BL175" s="12" t="str"/>
      <x:c r="BM175" s="12" t="str"/>
      <x:c r="BN175" s="12" t="str"/>
      <x:c r="BO175" s="12" t="str"/>
      <x:c r="BP175" s="12" t="str"/>
      <x:c r="BQ175" s="12" t="str"/>
    </x:row>
    <x:row r="176">
      <x:c r="A176" s="9" t="str">
        <x:v>cdi-31</x:v>
      </x:c>
      <x:c r="B176" s="9" t="str">
        <x:v>microcosm</x:v>
      </x:c>
      <x:c r="C176" s="9" t="str">
        <x:v>Philips CD-i</x:v>
      </x:c>
      <x:c r="D176" s="9" t="str">
        <x:v>Microcosm</x:v>
      </x:c>
      <x:c r="E176" s="9" t="str"/>
      <x:c r="F176" s="9" t="str">
        <x:v>Psygnosis</x:v>
      </x:c>
      <x:c r="G176" s="9" t="str">
        <x:v>Unreleased (Psygnosis/Philips)</x:v>
      </x:c>
      <x:c r="H176" s="9" t="n">
        <x:v>1994</x:v>
      </x:c>
      <x:c r="I176" s="9" t="str">
        <x:v>No</x:v>
      </x:c>
      <x:c r="J176" s="9" t="str">
        <x:v>No</x:v>
      </x:c>
      <x:c r="K176" s="9" t="str">
        <x:v>No</x:v>
      </x:c>
      <x:c r="L176" s="9" t="str">
        <x:v>No</x:v>
      </x:c>
      <x:c r="M176" s="9" t="str">
        <x:v>Rail shooter</x:v>
      </x:c>
      <x:c r="N176" s="9" t="str">
        <x:v>Pre-rendered CG</x:v>
      </x:c>
      <x:c r="O176" s="9" t="n">
        <x:v>9</x:v>
      </x:c>
      <x:c r="P176" s="9" t="str">
        <x:v>Prototype</x:v>
      </x:c>
      <x:c r="Q176" s="9" t="str">
        <x:v>Prototype dumped</x:v>
      </x:c>
      <x:c r="R176" s="9" t="str">
        <x:v>Psygnosis original (FM Towns first)</x:v>
      </x:c>
      <x:c r="S176" s="9" t="str">
        <x:v>FM Towns, Sega CD, 3DO, Amiga CD32, MS-DOS</x:v>
      </x:c>
      <x:c r="T176" s="9" t="str">
        <x:v>—</x:v>
      </x:c>
      <x:c r="U176" s="9" t="n">
        <x:v>1</x:v>
      </x:c>
      <x:c r="V176" s="9" t="str">
        <x:v>Unknown — verify</x:v>
      </x:c>
      <x:c r="W176" s="9" t="str">
        <x:v>Digital Video Cartridge required (The World of CD-i). Gamepad.</x:v>
      </x:c>
      <x:c r="X176" s="9" t="str">
        <x:v>Low</x:v>
      </x:c>
      <x:c r="Y176" s="9" t="str"/>
      <x:c r="Z176" s="9" t="str">
        <x:v>1 hr</x:v>
      </x:c>
      <x:c r="AA176" s="9" t="str">
        <x:v>The lost CD-i version of Psygnosis' 'interactive cinema' showpiece, recovered as a prototype by CD-i fans.</x:v>
      </x:c>
      <x:c r="AB176" s="9" t="str">
        <x:v>None known</x:v>
      </x:c>
      <x:c r="AC176" s="9" t="str">
        <x:v>Pre-rendered CG in MPEG-1 via the Digital Video Cartridge.</x:v>
      </x:c>
      <x:c r="AD176" s="9" t="str">
        <x:v>Unknown — verify</x:v>
      </x:c>
      <x:c r="AE176" s="9" t="str">
        <x:v>Single ending</x:v>
      </x:c>
      <x:c r="AF176" s="9" t="str">
        <x:v>Microcosm was featured on Philips' free Digital Video demo disc alongside The 7th Guest, but the CD-i game never shipped.</x:v>
      </x:c>
      <x:c r="AG176" s="9" t="str">
        <x:v>None (unreleased)</x:v>
      </x:c>
      <x:c r="AH176" s="9" t="str">
        <x:v>No</x:v>
      </x:c>
      <x:c r="AI176" s="9" t="str">
        <x:v>Emulation only</x:v>
      </x:c>
      <x:c r="AJ176" s="9"/>
      <x:c r="AK176" s="9" t="str">
        <x:v>NOT commercially released on CD-i. The World of CD-i says it recovered a Psygnosis prototype; whether that build is publicly dumped/downloadable is unconfirmed — status 'Prototype dumped' needs verification (could be 'NOT obtainable'). Year is approximate. Not listed on PriceCharting's CD-i page (2026-10-20).</x:v>
      </x:c>
      <x:c r="AL176" s="10"/>
      <x:c r="AM176" s="10"/>
      <x:c r="AN176" s="10"/>
      <x:c r="AO176" s="9"/>
      <x:c r="AP176" s="11" t="str">
        <x:f>HYPERLINK("https://www.pricecharting.com/search-products?q=Microcosm+cd-i&amp;type=prices","PriceCharting")</x:f>
        <x:v>PriceCharting</x:v>
      </x:c>
      <x:c r="AQ176" s="9"/>
      <x:c r="AR176" s="9"/>
      <x:c r="AS176" s="9"/>
      <x:c r="AT176" s="9"/>
      <x:c r="AU176" s="9"/>
      <x:c r="AV176" s="9"/>
      <x:c r="AW176" s="9"/>
      <x:c r="AX176" s="9"/>
      <x:c r="AY176" s="9"/>
      <x:c r="AZ176" s="9"/>
      <x:c r="BA176" s="11" t="str">
        <x:f>HYPERLINK("https://www.mobygames.com/game/2098/microcosm/","MobyGames")</x:f>
        <x:v>MobyGames</x:v>
      </x:c>
      <x:c r="BB176" s="9"/>
      <x:c r="BC176" s="9"/>
      <x:c r="BD176" s="9"/>
      <x:c r="BE176" s="11" t="str">
        <x:f>HYPERLINK("https://en.wikipedia.org/wiki/Microcosm_(video_game)","Wikipedia")</x:f>
        <x:v>Wikipedia</x:v>
      </x:c>
      <x:c r="BF176" s="11" t="str">
        <x:f>HYPERLINK("https://backloggd.com/search/games/Microcosm/","Backloggd")</x:f>
        <x:v>Backloggd</x:v>
      </x:c>
      <x:c r="BG176" s="9"/>
      <x:c r="BH176" s="9"/>
      <x:c r="BI176" s="12" t="str">
        <x:v>No</x:v>
      </x:c>
      <x:c r="BJ176" s="12" t="str"/>
      <x:c r="BK176" s="12" t="str">
        <x:v>No</x:v>
      </x:c>
      <x:c r="BL176" s="12" t="str"/>
      <x:c r="BM176" s="12" t="str"/>
      <x:c r="BN176" s="12" t="str"/>
      <x:c r="BO176" s="12" t="str"/>
      <x:c r="BP176" s="12" t="str"/>
      <x:c r="BQ176" s="12" t="str"/>
    </x:row>
    <x:row r="177">
      <x:c r="A177" s="9" t="str">
        <x:v>cdi-32</x:v>
      </x:c>
      <x:c r="B177" s="9" t="str">
        <x:v>flashback</x:v>
      </x:c>
      <x:c r="C177" s="9" t="str">
        <x:v>Philips CD-i</x:v>
      </x:c>
      <x:c r="D177" s="9" t="str">
        <x:v>Flashback</x:v>
      </x:c>
      <x:c r="E177" s="9" t="str">
        <x:v>Flashback: The Quest for Identity</x:v>
      </x:c>
      <x:c r="F177" s="9" t="str">
        <x:v>Delphine Software (port by Tiertex Design Studios)</x:v>
      </x:c>
      <x:c r="G177" s="9" t="str">
        <x:v>Philips Interactive Media / U.S. Gold</x:v>
      </x:c>
      <x:c r="H177" s="9" t="n">
        <x:v>1994</x:v>
      </x:c>
      <x:c r="I177" s="9" t="str">
        <x:v>Yes</x:v>
      </x:c>
      <x:c r="J177" s="9" t="str">
        <x:v>No</x:v>
      </x:c>
      <x:c r="K177" s="9" t="str">
        <x:v>Yes</x:v>
      </x:c>
      <x:c r="L177" s="9" t="str">
        <x:v>No</x:v>
      </x:c>
      <x:c r="M177" s="9" t="str">
        <x:v>Cinematic platformer</x:v>
      </x:c>
      <x:c r="N177" s="9" t="str">
        <x:v>Pre-rendered CG</x:v>
      </x:c>
      <x:c r="O177" s="9" t="n">
        <x:v>2</x:v>
      </x:c>
      <x:c r="P177" s="9" t="str">
        <x:v>Cutscenes only</x:v>
      </x:c>
      <x:c r="Q177" s="9" t="str">
        <x:v>Released</x:v>
      </x:c>
      <x:c r="R177" s="9" t="str">
        <x:v>1992 Amiga original; CD-ROM edition with 3D-rendered cutscenes</x:v>
      </x:c>
      <x:c r="S177" s="9" t="str">
        <x:v>Amiga, Mega Drive, SNES, MS-DOS, Sega CD, 3DO, FM Towns, Mac, Jaguar, others</x:v>
      </x:c>
      <x:c r="T177" s="9" t="str">
        <x:v>—</x:v>
      </x:c>
      <x:c r="U177" s="9" t="n">
        <x:v>1</x:v>
      </x:c>
      <x:c r="V177" s="9" t="str">
        <x:v>No (passwords)</x:v>
      </x:c>
      <x:c r="W177" s="9" t="str">
        <x:v>Digital Video Cartridge not used (The World of CD-i). Gamepad.</x:v>
      </x:c>
      <x:c r="X177" s="9" t="str">
        <x:v>Low</x:v>
      </x:c>
      <x:c r="Y177" s="9" t="str"/>
      <x:c r="Z177" s="9" t="str">
        <x:v>4–6 hr</x:v>
      </x:c>
      <x:c r="AA177" s="9" t="str">
        <x:v>The CD-i port that World of CD-i fans call the best Flashback, with the CD-era rendered cutscenes.</x:v>
      </x:c>
      <x:c r="AB177" s="9" t="str">
        <x:v>Level passwords (CD-i). Easy: ZULU, HAIGHT, MIKEY, RIGHTS, SCENE, GRIND, ONPTRC. Normal: MOTION, BADGES, RESOH, HOURS, WACED, THRILL, CAMS. Hard: SKILL, ACRES, SNAFU, PIECES, PNBALL, FURNIS, DLUXE (levels 1–7). (GameFAQs)</x:v>
      </x:c>
      <x:c r="AC177" s="9" t="str">
        <x:v>Pre-rendered 3D cutscenes replacing the vector cinematics; side bars on screen noted by reviewers</x:v>
      </x:c>
      <x:c r="AD177" s="9" t="str">
        <x:v>Hard; trial-and-error deaths</x:v>
      </x:c>
      <x:c r="AE177" s="9" t="str">
        <x:v>Single ending</x:v>
      </x:c>
      <x:c r="AF177" s="9" t="str">
        <x:v>The CD versions swapped Delphine's polygon cutscenes for pre-rendered 3D animation.</x:v>
      </x:c>
      <x:c r="AG177" s="9" t="str">
        <x:v>Regional releases 1994–1995; label dated 1995 on some copies</x:v>
      </x:c>
      <x:c r="AH177" s="9" t="str">
        <x:v>No</x:v>
      </x:c>
      <x:c r="AI177" s="9" t="str">
        <x:v>Easy</x:v>
      </x:c>
      <x:c r="AJ177" s="9"/>
      <x:c r="AK177" s="9" t="str">
        <x:v>Year 1994 vs 1995 conflict. Player reviews criticize slowdown and sluggish controls. Password save assumed from other versions (verify).</x:v>
      </x:c>
      <x:c r="AL177" s="10" t="n">
        <x:v>31.11</x:v>
      </x:c>
      <x:c r="AM177" s="10" t="n">
        <x:v>69.94</x:v>
      </x:c>
      <x:c r="AN177" s="10" t="n">
        <x:v>140</x:v>
      </x:c>
      <x:c r="AO177" s="9" t="str">
        <x:v>2026-10-20</x:v>
      </x:c>
      <x:c r="AP177" s="11" t="str">
        <x:f>HYPERLINK("https://www.pricecharting.com/game/cd-i/flashback-the-quest-for-identity","PriceCharting")</x:f>
        <x:v>PriceCharting</x:v>
      </x:c>
      <x:c r="AQ177" s="9"/>
      <x:c r="AR177" s="9"/>
      <x:c r="AS177" s="9"/>
      <x:c r="AT177" s="9"/>
      <x:c r="AU177" s="9"/>
      <x:c r="AV177" s="9"/>
      <x:c r="AW177" s="9"/>
      <x:c r="AX177" s="9"/>
      <x:c r="AY177" s="9" t="str">
        <x:v>81%</x:v>
      </x:c>
      <x:c r="AZ177" s="9" t="str">
        <x:v>4.3</x:v>
      </x:c>
      <x:c r="BA177" s="11" t="str">
        <x:f>HYPERLINK("https://www.mobygames.com/game/555/flashback-the-quest-for-identity/","MobyGames")</x:f>
        <x:v>MobyGames</x:v>
      </x:c>
      <x:c r="BB177" s="9"/>
      <x:c r="BC177" s="9"/>
      <x:c r="BD177" s="9"/>
      <x:c r="BE177" s="11" t="str">
        <x:f>HYPERLINK("https://en.wikipedia.org/wiki/Flashback_(1992_video_game)","Wikipedia")</x:f>
        <x:v>Wikipedia</x:v>
      </x:c>
      <x:c r="BF177" s="11" t="str">
        <x:f>HYPERLINK("https://backloggd.com/search/games/Flashback/","Backloggd")</x:f>
        <x:v>Backloggd</x:v>
      </x:c>
      <x:c r="BG177" s="9"/>
      <x:c r="BH177" s="9"/>
      <x:c r="BI177" s="12" t="str">
        <x:v>No</x:v>
      </x:c>
      <x:c r="BJ177" s="12" t="str"/>
      <x:c r="BK177" s="12" t="str">
        <x:v>No</x:v>
      </x:c>
      <x:c r="BL177" s="12" t="str"/>
      <x:c r="BM177" s="12" t="str"/>
      <x:c r="BN177" s="12" t="str"/>
      <x:c r="BO177" s="12" t="str"/>
      <x:c r="BP177" s="12" t="str"/>
      <x:c r="BQ177" s="12" t="str"/>
    </x:row>
    <x:row r="178">
      <x:c r="A178" s="9" t="str">
        <x:v>cdi-33</x:v>
      </x:c>
      <x:c r="B178" s="9" t="str">
        <x:v>solar-crusade</x:v>
      </x:c>
      <x:c r="C178" s="9" t="str">
        <x:v>Philips CD-i</x:v>
      </x:c>
      <x:c r="D178" s="9" t="str">
        <x:v>Solar Crusade</x:v>
      </x:c>
      <x:c r="E178" s="9" t="str"/>
      <x:c r="F178" s="9" t="str">
        <x:v>Infogrames Multimedia</x:v>
      </x:c>
      <x:c r="G178" s="9" t="str">
        <x:v>Infogrames (Philips Media per TCRF)</x:v>
      </x:c>
      <x:c r="H178" s="9" t="n">
        <x:v>1999</x:v>
      </x:c>
      <x:c r="I178" s="9" t="str">
        <x:v>No</x:v>
      </x:c>
      <x:c r="J178" s="9" t="str">
        <x:v>No</x:v>
      </x:c>
      <x:c r="K178" s="9" t="str">
        <x:v>Yes</x:v>
      </x:c>
      <x:c r="L178" s="9" t="str">
        <x:v>No</x:v>
      </x:c>
      <x:c r="M178" s="9" t="str">
        <x:v>Rail shooter</x:v>
      </x:c>
      <x:c r="N178" s="9" t="str">
        <x:v>Pre-rendered CG</x:v>
      </x:c>
      <x:c r="O178" s="9" t="n">
        <x:v>9</x:v>
      </x:c>
      <x:c r="P178" s="9" t="str">
        <x:v>Pre-rendered CG</x:v>
      </x:c>
      <x:c r="Q178" s="9" t="str">
        <x:v>Released</x:v>
      </x:c>
      <x:c r="R178" s="9" t="str">
        <x:v>Sequel to Chaos Control; PC original 1996</x:v>
      </x:c>
      <x:c r="S178" s="9" t="str">
        <x:v>MS-DOS/Windows</x:v>
      </x:c>
      <x:c r="T178" s="9" t="str">
        <x:v>—</x:v>
      </x:c>
      <x:c r="U178" s="9" t="n">
        <x:v>1</x:v>
      </x:c>
      <x:c r="V178" s="9" t="str">
        <x:v>Unknown — verify</x:v>
      </x:c>
      <x:c r="W178" s="9" t="str">
        <x:v>CD-i Digital Video Cartridge REQUIRED (World of CD-i)</x:v>
      </x:c>
      <x:c r="X178" s="9" t="str">
        <x:v>Low</x:v>
      </x:c>
      <x:c r="Y178" s="9" t="str"/>
      <x:c r="Z178" s="9" t="str">
        <x:v>1 hr</x:v>
      </x:c>
      <x:c r="AA178" s="9" t="str">
        <x:v>The very last official CD-i game, a Chaos Control sequel shelved for three years and released in 1999.</x:v>
      </x:c>
      <x:c r="AB178" s="9" t="str">
        <x:v>None known (TCRF has a CD-i page — verify)</x:v>
      </x:c>
      <x:c r="AC178" s="9" t="str">
        <x:v>MPEG pre-rendered CG via DVC (verify)</x:v>
      </x:c>
      <x:c r="AD178" s="9" t="str">
        <x:v>Unknown — verify</x:v>
      </x:c>
      <x:c r="AE178" s="9" t="str">
        <x:v>Single ending</x:v>
      </x:c>
      <x:c r="AF178" s="9" t="str">
        <x:v>Only CD-i release of 1999 and the last official game in the console's lifetime.</x:v>
      </x:c>
      <x:c r="AG178" s="9" t="str">
        <x:v>EU release 11 May 1999 (Gameventory)</x:v>
      </x:c>
      <x:c r="AH178" s="9" t="str">
        <x:v>No</x:v>
      </x:c>
      <x:c r="AI178" s="9" t="str">
        <x:v>Add-on required</x:v>
      </x:c>
      <x:c r="AJ178" s="9"/>
      <x:c r="AK178" s="9" t="str">
        <x:v>Publisher conflict: Wikipedia/World of CD-i say Infogrames; TCRF says Philips Media. Likely scarce and pricey.</x:v>
      </x:c>
      <x:c r="AL178" s="10" t="n">
        <x:v>179.48</x:v>
      </x:c>
      <x:c r="AM178" s="10" t="n">
        <x:v>351.02</x:v>
      </x:c>
      <x:c r="AN178" s="10" t="n">
        <x:v>702</x:v>
      </x:c>
      <x:c r="AO178" s="9" t="str">
        <x:v>2026-10-20</x:v>
      </x:c>
      <x:c r="AP178" s="11" t="str">
        <x:f>HYPERLINK("https://www.pricecharting.com/game/cd-i/solar-crusade","PriceCharting")</x:f>
        <x:v>PriceCharting</x:v>
      </x:c>
      <x:c r="AQ178" s="9"/>
      <x:c r="AR178" s="9"/>
      <x:c r="AS178" s="9"/>
      <x:c r="AT178" s="9"/>
      <x:c r="AU178" s="9"/>
      <x:c r="AV178" s="9"/>
      <x:c r="AW178" s="9"/>
      <x:c r="AX178" s="9"/>
      <x:c r="AY178" s="9" t="str">
        <x:v>70%</x:v>
      </x:c>
      <x:c r="AZ178" s="9"/>
      <x:c r="BA178" s="11" t="str">
        <x:f>HYPERLINK("https://www.mobygames.com/game/6206/solar-crusade/","MobyGames")</x:f>
        <x:v>MobyGames</x:v>
      </x:c>
      <x:c r="BB178" s="9"/>
      <x:c r="BC178" s="9"/>
      <x:c r="BD178" s="9"/>
      <x:c r="BE178" s="11" t="str">
        <x:f>HYPERLINK("https://en.wikipedia.org/wiki/Solar_Crusade","Wikipedia")</x:f>
        <x:v>Wikipedia</x:v>
      </x:c>
      <x:c r="BF178" s="11" t="str">
        <x:f>HYPERLINK("https://backloggd.com/search/games/Solar%20Crusade/","Backloggd")</x:f>
        <x:v>Backloggd</x:v>
      </x:c>
      <x:c r="BG178" s="9"/>
      <x:c r="BH178" s="9"/>
      <x:c r="BI178" s="12" t="str">
        <x:v>No</x:v>
      </x:c>
      <x:c r="BJ178" s="12" t="str"/>
      <x:c r="BK178" s="12" t="str">
        <x:v>No</x:v>
      </x:c>
      <x:c r="BL178" s="12" t="str"/>
      <x:c r="BM178" s="12" t="str"/>
      <x:c r="BN178" s="12" t="str"/>
      <x:c r="BO178" s="12" t="str"/>
      <x:c r="BP178" s="12" t="str"/>
      <x:c r="BQ178" s="12" t="str"/>
    </x:row>
    <x:row r="179">
      <x:c r="A179" s="9" t="str">
        <x:v>cdi-34</x:v>
      </x:c>
      <x:c r="B179" s="9" t="str">
        <x:v>mutant-rampage-bodyslam</x:v>
      </x:c>
      <x:c r="C179" s="9" t="str">
        <x:v>Philips CD-i</x:v>
      </x:c>
      <x:c r="D179" s="9" t="str">
        <x:v>Mutant Rampage: Bodyslam</x:v>
      </x:c>
      <x:c r="E179" s="9" t="str"/>
      <x:c r="F179" s="9" t="str">
        <x:v>Animation Magic</x:v>
      </x:c>
      <x:c r="G179" s="9" t="str">
        <x:v>Philips Media</x:v>
      </x:c>
      <x:c r="H179" s="9" t="n">
        <x:v>1994</x:v>
      </x:c>
      <x:c r="I179" s="9" t="str">
        <x:v>Yes</x:v>
      </x:c>
      <x:c r="J179" s="9" t="str">
        <x:v>No</x:v>
      </x:c>
      <x:c r="K179" s="9" t="str">
        <x:v>Yes</x:v>
      </x:c>
      <x:c r="L179" s="9" t="str">
        <x:v>No</x:v>
      </x:c>
      <x:c r="M179" s="9" t="str">
        <x:v>Beat 'em up</x:v>
      </x:c>
      <x:c r="N179" s="9" t="str">
        <x:v>Animated</x:v>
      </x:c>
      <x:c r="O179" s="9" t="n">
        <x:v>2</x:v>
      </x:c>
      <x:c r="P179" s="9" t="str">
        <x:v>Cutscenes only</x:v>
      </x:c>
      <x:c r="Q179" s="9" t="str">
        <x:v>Released</x:v>
      </x:c>
      <x:c r="R179" s="9" t="str">
        <x:v>Original production</x:v>
      </x:c>
      <x:c r="S179" s="9" t="str">
        <x:v>None</x:v>
      </x:c>
      <x:c r="T179" s="9" t="str">
        <x:v>—</x:v>
      </x:c>
      <x:c r="U179" s="9" t="n">
        <x:v>1</x:v>
      </x:c>
      <x:c r="V179" s="9" t="str">
        <x:v>Unknown — verify</x:v>
      </x:c>
      <x:c r="W179" s="9" t="str">
        <x:v>Digital Video Cartridge required (The World of CD-i). Gamepad.</x:v>
      </x:c>
      <x:c r="X179" s="9" t="str">
        <x:v>Low</x:v>
      </x:c>
      <x:c r="Y179" s="9" t="str"/>
      <x:c r="Z179" s="9" t="str">
        <x:v>1–2 hr</x:v>
      </x:c>
      <x:c r="AA179" s="9" t="str">
        <x:v>A post-apocalyptic game-show brawler from the studio behind the Zelda CD-i games, complete with its oddly animated cutscenes.</x:v>
      </x:c>
      <x:c r="AB179" s="9" t="str">
        <x:v>None known</x:v>
      </x:c>
      <x:c r="AC179" s="9" t="str">
        <x:v>Hand-drawn animated cutscenes (Animation Magic, St. Petersburg animators)</x:v>
      </x:c>
      <x:c r="AD179" s="9" t="str">
        <x:v>Ten long stages, no scoring, no two-player mode</x:v>
      </x:c>
      <x:c r="AE179" s="9" t="str">
        <x:v>Single ending</x:v>
      </x:c>
      <x:c r="AF179" s="9" t="str">
        <x:v>Animated by Animation Magic's Russian team, the same studio that made Link: The Faces of Evil and Zelda: The Wand of Gamelon.</x:v>
      </x:c>
      <x:c r="AG179" s="9" t="str">
        <x:v>US/EU</x:v>
      </x:c>
      <x:c r="AH179" s="9" t="str">
        <x:v>No</x:v>
      </x:c>
      <x:c r="AI179" s="9" t="str">
        <x:v>Add-on required</x:v>
      </x:c>
      <x:c r="AJ179" s="9"/>
      <x:c r="AK179" s="9" t="str">
        <x:v>Release date conflict: May, June or October 1994. DVC requirement unconfirmed.</x:v>
      </x:c>
      <x:c r="AL179" s="10" t="n">
        <x:v>51.99</x:v>
      </x:c>
      <x:c r="AM179" s="10" t="n">
        <x:v>77.5</x:v>
      </x:c>
      <x:c r="AN179" s="10" t="n">
        <x:v>128.88</x:v>
      </x:c>
      <x:c r="AO179" s="9" t="str">
        <x:v>2026-10-20</x:v>
      </x:c>
      <x:c r="AP179" s="11" t="str">
        <x:f>HYPERLINK("https://www.pricecharting.com/game/cd-i/mutant-rampage-bodyslam","PriceCharting")</x:f>
        <x:v>PriceCharting</x:v>
      </x:c>
      <x:c r="AQ179" s="9"/>
      <x:c r="AR179" s="9"/>
      <x:c r="AS179" s="9"/>
      <x:c r="AT179" s="9"/>
      <x:c r="AU179" s="9"/>
      <x:c r="AV179" s="9"/>
      <x:c r="AW179" s="9"/>
      <x:c r="AX179" s="9"/>
      <x:c r="AY179" s="9" t="str">
        <x:v>59%</x:v>
      </x:c>
      <x:c r="AZ179" s="9" t="str">
        <x:v>3.3</x:v>
      </x:c>
      <x:c r="BA179" s="11" t="str">
        <x:f>HYPERLINK("https://www.mobygames.com/game/39641/mutant-rampage-bodyslam/","MobyGames")</x:f>
        <x:v>MobyGames</x:v>
      </x:c>
      <x:c r="BB179" s="9"/>
      <x:c r="BC179" s="9"/>
      <x:c r="BD179" s="9"/>
      <x:c r="BE179" s="9"/>
      <x:c r="BF179" s="11" t="str">
        <x:f>HYPERLINK("https://backloggd.com/search/games/Mutant%20Rampage%3A%20Bodyslam/","Backloggd")</x:f>
        <x:v>Backloggd</x:v>
      </x:c>
      <x:c r="BG179" s="9"/>
      <x:c r="BH179" s="9"/>
      <x:c r="BI179" s="12" t="str">
        <x:v>No</x:v>
      </x:c>
      <x:c r="BJ179" s="12" t="str"/>
      <x:c r="BK179" s="12" t="str">
        <x:v>No</x:v>
      </x:c>
      <x:c r="BL179" s="12" t="str"/>
      <x:c r="BM179" s="12" t="str"/>
      <x:c r="BN179" s="12" t="str"/>
      <x:c r="BO179" s="12" t="str"/>
      <x:c r="BP179" s="12" t="str"/>
      <x:c r="BQ179" s="12" t="str"/>
    </x:row>
    <x:row r="180">
      <x:c r="A180" s="9" t="str">
        <x:v>cdi-35</x:v>
      </x:c>
      <x:c r="B180" s="9" t="str">
        <x:v>litil-divil</x:v>
      </x:c>
      <x:c r="C180" s="9" t="str">
        <x:v>Philips CD-i</x:v>
      </x:c>
      <x:c r="D180" s="9" t="str">
        <x:v>Litil Divil</x:v>
      </x:c>
      <x:c r="E180" s="9" t="str"/>
      <x:c r="F180" s="9" t="str">
        <x:v>Gremlin Graphics (Gremlin Ireland)</x:v>
      </x:c>
      <x:c r="G180" s="9" t="str">
        <x:v>Philips Interactive Media</x:v>
      </x:c>
      <x:c r="H180" s="9" t="n">
        <x:v>1994</x:v>
      </x:c>
      <x:c r="I180" s="9" t="str">
        <x:v>Yes</x:v>
      </x:c>
      <x:c r="J180" s="9" t="str">
        <x:v>No</x:v>
      </x:c>
      <x:c r="K180" s="9" t="str">
        <x:v>Yes</x:v>
      </x:c>
      <x:c r="L180" s="9" t="str">
        <x:v>No</x:v>
      </x:c>
      <x:c r="M180" s="9" t="str">
        <x:v>Action adventure / maze</x:v>
      </x:c>
      <x:c r="N180" s="9" t="str">
        <x:v>Animated</x:v>
      </x:c>
      <x:c r="O180" s="9" t="n">
        <x:v>3</x:v>
      </x:c>
      <x:c r="P180" s="9" t="str">
        <x:v>Cutscenes only</x:v>
      </x:c>
      <x:c r="Q180" s="9" t="str">
        <x:v>Released</x:v>
      </x:c>
      <x:c r="R180" s="9" t="str">
        <x:v>Gremlin original (DOS 1993)</x:v>
      </x:c>
      <x:c r="S180" s="9" t="str">
        <x:v>MS-DOS, Amiga CD32, later Windows/Mac/Linux</x:v>
      </x:c>
      <x:c r="T180" s="9" t="str">
        <x:v>—</x:v>
      </x:c>
      <x:c r="U180" s="9" t="n">
        <x:v>1</x:v>
      </x:c>
      <x:c r="V180" s="9" t="str">
        <x:v>Unknown — verify</x:v>
      </x:c>
      <x:c r="W180" s="9" t="str">
        <x:v>CD-i Digital Video Cartridge REQUIRED (World of CD-i DVC list and MobyGames); without it the disc asks for the cartridge. Gamepad.</x:v>
      </x:c>
      <x:c r="X180" s="9" t="str">
        <x:v>Low</x:v>
      </x:c>
      <x:c r="Y180" s="9" t="str"/>
      <x:c r="Z180" s="9" t="str">
        <x:v>3–5 hr</x:v>
      </x:c>
      <x:c r="AA180" s="9" t="str">
        <x:v>A cartoon devil's quest for the Mystical Pizza of Plenty, with MPEG cartoon intro and room-change cutscenes cut from other versions.</x:v>
      </x:c>
      <x:c r="AB180" s="9" t="str">
        <x:v>None known</x:v>
      </x:c>
      <x:c r="AC180" s="9" t="str">
        <x:v>MPEG cartoon intro, ending and room-transition animations via DVC (verify)</x:v>
      </x:c>
      <x:c r="AD180" s="9" t="str">
        <x:v>Moderate; laggy controls (EGM)</x:v>
      </x:c>
      <x:c r="AE180" s="9" t="str">
        <x:v>Single ending</x:v>
      </x:c>
      <x:c r="AF180" s="9" t="str">
        <x:v>The CD32 version lacks the cartoon intro reviewers expected; the CD-i version has intro, end and room-change animations.</x:v>
      </x:c>
      <x:c r="AG180" s="9" t="str">
        <x:v>EU cat. 8100169, US 310690141-2</x:v>
      </x:c>
      <x:c r="AH180" s="9" t="str">
        <x:v>No</x:v>
      </x:c>
      <x:c r="AI180" s="9" t="str">
        <x:v>Add-on required</x:v>
      </x:c>
      <x:c r="AJ180" s="9"/>
      <x:c r="AK180" s="9" t="str">
        <x:v>EGM scored the CD-i version 6.5/10. FMV is animated cutscene material, not live-action.</x:v>
      </x:c>
      <x:c r="AL180" s="10" t="n">
        <x:v>12.73</x:v>
      </x:c>
      <x:c r="AM180" s="10" t="n">
        <x:v>24.99</x:v>
      </x:c>
      <x:c r="AN180" s="10" t="n">
        <x:v>24.99</x:v>
      </x:c>
      <x:c r="AO180" s="9" t="str">
        <x:v>2026-10-20</x:v>
      </x:c>
      <x:c r="AP180" s="11" t="str">
        <x:f>HYPERLINK("https://www.pricecharting.com/game/cd-i/litil-divil","PriceCharting")</x:f>
        <x:v>PriceCharting</x:v>
      </x:c>
      <x:c r="AQ180" s="9"/>
      <x:c r="AR180" s="9"/>
      <x:c r="AS180" s="9"/>
      <x:c r="AT180" s="9"/>
      <x:c r="AU180" s="9"/>
      <x:c r="AV180" s="9"/>
      <x:c r="AW180" s="9"/>
      <x:c r="AX180" s="9"/>
      <x:c r="AY180" s="9" t="str">
        <x:v>62%</x:v>
      </x:c>
      <x:c r="AZ180" s="9" t="str">
        <x:v>4.2</x:v>
      </x:c>
      <x:c r="BA180" s="11" t="str">
        <x:f>HYPERLINK("https://www.mobygames.com/game/1147/litil-divil/","MobyGames")</x:f>
        <x:v>MobyGames</x:v>
      </x:c>
      <x:c r="BB180" s="9"/>
      <x:c r="BC180" s="9"/>
      <x:c r="BD180" s="9"/>
      <x:c r="BE180" s="11" t="str">
        <x:f>HYPERLINK("https://en.wikipedia.org/wiki/Litil_Divil","Wikipedia")</x:f>
        <x:v>Wikipedia</x:v>
      </x:c>
      <x:c r="BF180" s="11" t="str">
        <x:f>HYPERLINK("https://backloggd.com/search/games/Litil%20Divil/","Backloggd")</x:f>
        <x:v>Backloggd</x:v>
      </x:c>
      <x:c r="BG180" s="9"/>
      <x:c r="BH180" s="9"/>
      <x:c r="BI180" s="12" t="str">
        <x:v>No</x:v>
      </x:c>
      <x:c r="BJ180" s="12" t="str"/>
      <x:c r="BK180" s="12" t="str">
        <x:v>No</x:v>
      </x:c>
      <x:c r="BL180" s="12" t="str"/>
      <x:c r="BM180" s="12" t="str"/>
      <x:c r="BN180" s="12" t="str"/>
      <x:c r="BO180" s="12" t="str"/>
      <x:c r="BP180" s="12" t="str"/>
      <x:c r="BQ180" s="12" t="str"/>
    </x:row>
    <x:row r="181">
      <x:c r="A181" s="9" t="str">
        <x:v>cdi-36</x:v>
      </x:c>
      <x:c r="B181" s="9" t="str">
        <x:v>lucky-luke</x:v>
      </x:c>
      <x:c r="C181" s="9" t="str">
        <x:v>Philips CD-i</x:v>
      </x:c>
      <x:c r="D181" s="9" t="str">
        <x:v>Lucky Luke</x:v>
      </x:c>
      <x:c r="E181" s="9" t="str">
        <x:v>Lucky Luke: The Video Game</x:v>
      </x:c>
      <x:c r="F181" s="9" t="str">
        <x:v>The Vision Factory (SPC Vision) / Pixelhazard</x:v>
      </x:c>
      <x:c r="G181" s="9" t="str">
        <x:v>Philips Media</x:v>
      </x:c>
      <x:c r="H181" s="9" t="n">
        <x:v>1996</x:v>
      </x:c>
      <x:c r="I181" s="9" t="str">
        <x:v>No</x:v>
      </x:c>
      <x:c r="J181" s="9" t="str">
        <x:v>No</x:v>
      </x:c>
      <x:c r="K181" s="9" t="str">
        <x:v>Yes</x:v>
      </x:c>
      <x:c r="L181" s="9" t="str">
        <x:v>No</x:v>
      </x:c>
      <x:c r="M181" s="9" t="str">
        <x:v>Platform shooter</x:v>
      </x:c>
      <x:c r="N181" s="9" t="str">
        <x:v>Animated</x:v>
      </x:c>
      <x:c r="O181" s="9" t="n">
        <x:v>2</x:v>
      </x:c>
      <x:c r="P181" s="9" t="str">
        <x:v>Cutscenes only</x:v>
      </x:c>
      <x:c r="Q181" s="9" t="str">
        <x:v>Released</x:v>
      </x:c>
      <x:c r="R181" s="9" t="str">
        <x:v>Licensed: Morris's Lucky Luke comics</x:v>
      </x:c>
      <x:c r="S181" s="9" t="str">
        <x:v>None (CD-i exclusive)</x:v>
      </x:c>
      <x:c r="T181" s="9" t="str">
        <x:v>—</x:v>
      </x:c>
      <x:c r="U181" s="9" t="n">
        <x:v>1</x:v>
      </x:c>
      <x:c r="V181" s="9" t="str">
        <x:v>Unknown — verify</x:v>
      </x:c>
      <x:c r="W181" s="9" t="str">
        <x:v>CD-i Digital Video Cartridge REQUIRED (MobyGames and World of CD-i). Gamepad.</x:v>
      </x:c>
      <x:c r="X181" s="9" t="str">
        <x:v>Low–Med</x:v>
      </x:c>
      <x:c r="Y181" s="9" t="str">
        <x:v>Lucky Luke character licence/animation (verify whether any footage is from the cartoon series)</x:v>
      </x:c>
      <x:c r="Z181" s="9" t="str">
        <x:v>2–3 hr</x:v>
      </x:c>
      <x:c r="AA181" s="9" t="str">
        <x:v>Late-era European CD-i exclusive chasing the Daltons across 24 levels, needing the MPEG card.</x:v>
      </x:c>
      <x:c r="AB181" s="9" t="str">
        <x:v>Pause, then Up, Right, Down, Left, Down for an extended menu (level select, unlimited health/lives/ammo per TCRF; World of CD-i lists only lives/ammo)</x:v>
      </x:c>
      <x:c r="AC181" s="9" t="str">
        <x:v>MPEG animation via DVC (exact use — intro/cutscenes vs backgrounds — verify)</x:v>
      </x:c>
      <x:c r="AD181" s="9" t="str">
        <x:v>Moderate</x:v>
      </x:c>
      <x:c r="AE181" s="9" t="str">
        <x:v>Single ending</x:v>
      </x:c>
      <x:c r="AF181" s="9" t="str">
        <x:v>TCRF documents unused graphics and a debug pause menu.</x:v>
      </x:c>
      <x:c r="AG181" s="9" t="str">
        <x:v>EU only; text in English, French, German, Dutch; CD-i Ready disc</x:v>
      </x:c>
      <x:c r="AH181" s="9" t="str">
        <x:v>No</x:v>
      </x:c>
      <x:c r="AI181" s="9" t="str">
        <x:v>Add-on required</x:v>
      </x:c>
      <x:c r="AJ181" s="9"/>
      <x:c r="AK181" s="9" t="str">
        <x:v>How much video it streams is unconfirmed; fmv 2 assumes cutscenes.</x:v>
      </x:c>
      <x:c r="AL181" s="10" t="n">
        <x:v>27.42</x:v>
      </x:c>
      <x:c r="AM181" s="10" t="n">
        <x:v>39.99</x:v>
      </x:c>
      <x:c r="AN181" s="10" t="n">
        <x:v>80</x:v>
      </x:c>
      <x:c r="AO181" s="9" t="str">
        <x:v>2026-10-20</x:v>
      </x:c>
      <x:c r="AP181" s="11" t="str">
        <x:f>HYPERLINK("https://www.pricecharting.com/game/cd-i/lucky-luke","PriceCharting")</x:f>
        <x:v>PriceCharting</x:v>
      </x:c>
      <x:c r="AQ181" s="9"/>
      <x:c r="AR181" s="9"/>
      <x:c r="AS181" s="9"/>
      <x:c r="AT181" s="9"/>
      <x:c r="AU181" s="9"/>
      <x:c r="AV181" s="9"/>
      <x:c r="AW181" s="9"/>
      <x:c r="AX181" s="9"/>
      <x:c r="AY181" s="9" t="str">
        <x:v>66%</x:v>
      </x:c>
      <x:c r="AZ181" s="9" t="str">
        <x:v>2.7</x:v>
      </x:c>
      <x:c r="BA181" s="11" t="str">
        <x:f>HYPERLINK("https://www.mobygames.com/game/26294/lucky-luke-the-video-game/","MobyGames")</x:f>
        <x:v>MobyGames</x:v>
      </x:c>
      <x:c r="BB181" s="9"/>
      <x:c r="BC181" s="9"/>
      <x:c r="BD181" s="9"/>
      <x:c r="BE181" s="9"/>
      <x:c r="BF181" s="11" t="str">
        <x:f>HYPERLINK("https://backloggd.com/search/games/Lucky%20Luke/","Backloggd")</x:f>
        <x:v>Backloggd</x:v>
      </x:c>
      <x:c r="BG181" s="9"/>
      <x:c r="BH181" s="9"/>
      <x:c r="BI181" s="12" t="str">
        <x:v>No</x:v>
      </x:c>
      <x:c r="BJ181" s="12" t="str"/>
      <x:c r="BK181" s="12" t="str">
        <x:v>No</x:v>
      </x:c>
      <x:c r="BL181" s="12" t="str"/>
      <x:c r="BM181" s="12" t="str"/>
      <x:c r="BN181" s="12" t="str"/>
      <x:c r="BO181" s="12" t="str"/>
      <x:c r="BP181" s="12" t="str"/>
      <x:c r="BQ181" s="12" t="str"/>
    </x:row>
    <x:row r="182">
      <x:c r="A182" s="9" t="str">
        <x:v>cdi-37</x:v>
      </x:c>
      <x:c r="B182" s="9" t="str">
        <x:v>inca</x:v>
      </x:c>
      <x:c r="C182" s="9" t="str">
        <x:v>Philips CD-i</x:v>
      </x:c>
      <x:c r="D182" s="9" t="str">
        <x:v>Inca</x:v>
      </x:c>
      <x:c r="E182" s="9" t="str"/>
      <x:c r="F182" s="9" t="str">
        <x:v>Coktel Vision</x:v>
      </x:c>
      <x:c r="G182" s="9" t="str">
        <x:v>Philips Interactive Media France</x:v>
      </x:c>
      <x:c r="H182" s="9" t="n">
        <x:v>1993</x:v>
      </x:c>
      <x:c r="I182" s="9" t="str">
        <x:v>Yes</x:v>
      </x:c>
      <x:c r="J182" s="9" t="str">
        <x:v>No</x:v>
      </x:c>
      <x:c r="K182" s="9" t="str">
        <x:v>Yes</x:v>
      </x:c>
      <x:c r="L182" s="9" t="str">
        <x:v>No</x:v>
      </x:c>
      <x:c r="M182" s="9" t="str">
        <x:v>Adventure / space shooter</x:v>
      </x:c>
      <x:c r="N182" s="9" t="str">
        <x:v>Live-action + pre-rendered CG</x:v>
      </x:c>
      <x:c r="O182" s="9" t="n">
        <x:v>4</x:v>
      </x:c>
      <x:c r="P182" s="9" t="str">
        <x:v>FMV adventure</x:v>
      </x:c>
      <x:c r="Q182" s="9" t="str">
        <x:v>Released</x:v>
      </x:c>
      <x:c r="R182" s="9" t="str">
        <x:v>1992 DOS original (Sierra/Coktel)</x:v>
      </x:c>
      <x:c r="S182" s="9" t="str">
        <x:v>MS-DOS (floppy and CD), Mac</x:v>
      </x:c>
      <x:c r="T182" s="9" t="str">
        <x:v>—</x:v>
      </x:c>
      <x:c r="U182" s="9" t="n">
        <x:v>1</x:v>
      </x:c>
      <x:c r="V182" s="9" t="str">
        <x:v>No (passwords)</x:v>
      </x:c>
      <x:c r="W182" s="9" t="str">
        <x:v>CD-i Digital Video Cartridge not used. Gamepad.</x:v>
      </x:c>
      <x:c r="X182" s="9" t="str">
        <x:v>Low</x:v>
      </x:c>
      <x:c r="Y182" s="9" t="str"/>
      <x:c r="Z182" s="9" t="str">
        <x:v>3–5 hr</x:v>
      </x:c>
      <x:c r="AA182" s="9" t="str">
        <x:v>Coktel's mystic sci-fi Inca epic: conquistadors versus Inca spaceships, with CD video cutscenes.</x:v>
      </x:c>
      <x:c r="AB182" s="9" t="str">
        <x:v>None known</x:v>
      </x:c>
      <x:c r="AC182" s="9" t="str">
        <x:v>Full-screen pre-rendered/animated video sequences in CD-i base-case video (verify)</x:v>
      </x:c>
      <x:c r="AD182" s="9" t="str">
        <x:v>Combat can get repetitive; slow scenes</x:v>
      </x:c>
      <x:c r="AE182" s="9" t="str">
        <x:v>Single ending</x:v>
      </x:c>
      <x:c r="AF182" s="9" t="str">
        <x:v>The CD versions added new voice acting and a new theme, 'Inca People'.</x:v>
      </x:c>
      <x:c r="AG182" s="9" t="str">
        <x:v>EU cat. 8100126/8100148, US 690285-2</x:v>
      </x:c>
      <x:c r="AH182" s="9" t="str">
        <x:v>No</x:v>
      </x:c>
      <x:c r="AI182" s="9" t="str">
        <x:v>Easy</x:v>
      </x:c>
      <x:c r="AJ182" s="9"/>
      <x:c r="AK182" s="9" t="str">
        <x:v>Live-action content uncertain: fmvType and fmv score need verification. MobyGames' CD-i reviews tab shows 69% from 7 ratings.</x:v>
      </x:c>
      <x:c r="AL182" s="10" t="n">
        <x:v>13.93</x:v>
      </x:c>
      <x:c r="AM182" s="10" t="n">
        <x:v>29.36</x:v>
      </x:c>
      <x:c r="AN182" s="10" t="n">
        <x:v>28.99</x:v>
      </x:c>
      <x:c r="AO182" s="9" t="str">
        <x:v>2026-10-20</x:v>
      </x:c>
      <x:c r="AP182" s="11" t="str">
        <x:f>HYPERLINK("https://www.pricecharting.com/game/cd-i/inca","PriceCharting")</x:f>
        <x:v>PriceCharting</x:v>
      </x:c>
      <x:c r="AQ182" s="9"/>
      <x:c r="AR182" s="9"/>
      <x:c r="AS182" s="9"/>
      <x:c r="AT182" s="9"/>
      <x:c r="AU182" s="9"/>
      <x:c r="AV182" s="9"/>
      <x:c r="AW182" s="9"/>
      <x:c r="AX182" s="9"/>
      <x:c r="AY182" s="9" t="str">
        <x:v>69%</x:v>
      </x:c>
      <x:c r="AZ182" s="9" t="str">
        <x:v>3.8</x:v>
      </x:c>
      <x:c r="BA182" s="11" t="str">
        <x:f>HYPERLINK("https://www.mobygames.com/game/4198/inca/","MobyGames")</x:f>
        <x:v>MobyGames</x:v>
      </x:c>
      <x:c r="BB182" s="9"/>
      <x:c r="BC182" s="9"/>
      <x:c r="BD182" s="9"/>
      <x:c r="BE182" s="11" t="str">
        <x:f>HYPERLINK("https://en.wikipedia.org/wiki/Inca_(video_game)","Wikipedia")</x:f>
        <x:v>Wikipedia</x:v>
      </x:c>
      <x:c r="BF182" s="11" t="str">
        <x:f>HYPERLINK("https://backloggd.com/search/games/Inca/","Backloggd")</x:f>
        <x:v>Backloggd</x:v>
      </x:c>
      <x:c r="BG182" s="9"/>
      <x:c r="BH182" s="9"/>
      <x:c r="BI182" s="12" t="str">
        <x:v>No</x:v>
      </x:c>
      <x:c r="BJ182" s="12" t="str"/>
      <x:c r="BK182" s="12" t="str">
        <x:v>No</x:v>
      </x:c>
      <x:c r="BL182" s="12" t="str"/>
      <x:c r="BM182" s="12" t="str"/>
      <x:c r="BN182" s="12" t="str"/>
      <x:c r="BO182" s="12" t="str"/>
      <x:c r="BP182" s="12" t="str"/>
      <x:c r="BQ182" s="12" t="str"/>
    </x:row>
    <x:row r="183">
      <x:c r="A183" s="9" t="str">
        <x:v>cdi-38</x:v>
      </x:c>
      <x:c r="B183" s="9" t="str">
        <x:v>international-tennis-open</x:v>
      </x:c>
      <x:c r="C183" s="9" t="str">
        <x:v>Philips CD-i</x:v>
      </x:c>
      <x:c r="D183" s="9" t="str">
        <x:v>International Tennis Open</x:v>
      </x:c>
      <x:c r="E183" s="9" t="str"/>
      <x:c r="F183" s="9" t="str">
        <x:v>Infogrames Multimedia</x:v>
      </x:c>
      <x:c r="G183" s="9" t="str">
        <x:v>Philips Interactive Media / Pathé Interactive</x:v>
      </x:c>
      <x:c r="H183" s="9" t="n">
        <x:v>1993</x:v>
      </x:c>
      <x:c r="I183" s="9" t="str">
        <x:v>Yes</x:v>
      </x:c>
      <x:c r="J183" s="9" t="str">
        <x:v>No</x:v>
      </x:c>
      <x:c r="K183" s="9" t="str">
        <x:v>Yes</x:v>
      </x:c>
      <x:c r="L183" s="9" t="str">
        <x:v>No</x:v>
      </x:c>
      <x:c r="M183" s="9" t="str">
        <x:v>Tennis</x:v>
      </x:c>
      <x:c r="N183" s="9" t="str">
        <x:v>Live-action</x:v>
      </x:c>
      <x:c r="O183" s="9" t="n">
        <x:v>3</x:v>
      </x:c>
      <x:c r="P183" s="9" t="str">
        <x:v>Sports w/ FMV</x:v>
      </x:c>
      <x:c r="Q183" s="9" t="str">
        <x:v>Released</x:v>
      </x:c>
      <x:c r="R183" s="9" t="str">
        <x:v>Original production</x:v>
      </x:c>
      <x:c r="S183" s="9" t="str">
        <x:v>MS-DOS, Mac, Windows</x:v>
      </x:c>
      <x:c r="T183" s="9" t="str">
        <x:v>George Eddy (commentator)</x:v>
      </x:c>
      <x:c r="U183" s="9" t="n">
        <x:v>1</x:v>
      </x:c>
      <x:c r="V183" s="9" t="str">
        <x:v>Yes (verify): a guide says the pause menu can save a head-to-head match to continue later</x:v>
      </x:c>
      <x:c r="W183" s="9" t="str">
        <x:v>CD-i Digital Video Cartridge not used. Gamepad; 2-player added in a 1994 revision.</x:v>
      </x:c>
      <x:c r="X183" s="9" t="str">
        <x:v>Low</x:v>
      </x:c>
      <x:c r="Y183" s="9" t="str"/>
      <x:c r="Z183" s="9" t="str">
        <x:v>1–2 hr per tournament</x:v>
      </x:c>
      <x:c r="AA183" s="9" t="str">
        <x:v>Early CD-i pack-in that GamePro gave a perfect score, packed with digitized video clips and rotoscoped players.</x:v>
      </x:c>
      <x:c r="AB183" s="9" t="str">
        <x:v>None known (TCRF has a page — verify)</x:v>
      </x:c>
      <x:c r="AC183" s="9" t="str">
        <x:v>Many small digitized video clips and rotoscoped sprites in base-case video</x:v>
      </x:c>
      <x:c r="AD183" s="9" t="str">
        <x:v>Simulation-leaning; moderate</x:v>
      </x:c>
      <x:c r="AE183" s="9" t="str">
        <x:v>None (sports)</x:v>
      </x:c>
      <x:c r="AF183" s="9" t="str">
        <x:v>Bundled with some CD-i players; a 1994 update added two-player mode.</x:v>
      </x:c>
      <x:c r="AG183" s="9" t="str">
        <x:v>Original and 1994 two-player version; bundled with some players</x:v>
      </x:c>
      <x:c r="AH183" s="9" t="str">
        <x:v>No</x:v>
      </x:c>
      <x:c r="AI183" s="9" t="str">
        <x:v>Easy</x:v>
      </x:c>
      <x:c r="AJ183" s="9"/>
      <x:c r="AK183" s="9" t="str">
        <x:v>Year conflict: Wikipedia/MobyGames say 1992; EU retail 3 Mar 1993 per Hidden Palace, US 1994. MobyGames 68% critic score may be multi-platform, so it is left blank.</x:v>
      </x:c>
      <x:c r="AL183" s="10" t="n">
        <x:v>4.24</x:v>
      </x:c>
      <x:c r="AM183" s="10" t="n">
        <x:v>11.98</x:v>
      </x:c>
      <x:c r="AN183" s="10" t="n">
        <x:v>17.8</x:v>
      </x:c>
      <x:c r="AO183" s="9" t="str">
        <x:v>2026-10-20</x:v>
      </x:c>
      <x:c r="AP183" s="11" t="str">
        <x:f>HYPERLINK("https://www.pricecharting.com/game/cd-i/international-tennis-open","PriceCharting")</x:f>
        <x:v>PriceCharting</x:v>
      </x:c>
      <x:c r="AQ183" s="9"/>
      <x:c r="AR183" s="9"/>
      <x:c r="AS183" s="9"/>
      <x:c r="AT183" s="9"/>
      <x:c r="AU183" s="9"/>
      <x:c r="AV183" s="9"/>
      <x:c r="AW183" s="9"/>
      <x:c r="AX183" s="9"/>
      <x:c r="AY183" s="9"/>
      <x:c r="AZ183" s="9"/>
      <x:c r="BA183" s="11" t="str">
        <x:f>HYPERLINK("https://www.mobygames.com/game/4446/international-tennis-open/","MobyGames")</x:f>
        <x:v>MobyGames</x:v>
      </x:c>
      <x:c r="BB183" s="9"/>
      <x:c r="BC183" s="9"/>
      <x:c r="BD183" s="9"/>
      <x:c r="BE183" s="11" t="str">
        <x:f>HYPERLINK("https://en.wikipedia.org/wiki/International_Tennis_Open","Wikipedia")</x:f>
        <x:v>Wikipedia</x:v>
      </x:c>
      <x:c r="BF183" s="11" t="str">
        <x:f>HYPERLINK("https://backloggd.com/search/games/International%20Tennis%20Open/","Backloggd")</x:f>
        <x:v>Backloggd</x:v>
      </x:c>
      <x:c r="BG183" s="9"/>
      <x:c r="BH183" s="9"/>
      <x:c r="BI183" s="12" t="str">
        <x:v>No</x:v>
      </x:c>
      <x:c r="BJ183" s="12" t="str"/>
      <x:c r="BK183" s="12" t="str">
        <x:v>No</x:v>
      </x:c>
      <x:c r="BL183" s="12" t="str"/>
      <x:c r="BM183" s="12" t="str"/>
      <x:c r="BN183" s="12" t="str"/>
      <x:c r="BO183" s="12" t="str"/>
      <x:c r="BP183" s="12" t="str"/>
      <x:c r="BQ183" s="12" t="str"/>
    </x:row>
    <x:row r="184">
      <x:c r="A184" s="9" t="str">
        <x:v>cdi-39</x:v>
      </x:c>
      <x:c r="B184" s="9" t="str">
        <x:v>video-speedway</x:v>
      </x:c>
      <x:c r="C184" s="9" t="str">
        <x:v>Philips CD-i</x:v>
      </x:c>
      <x:c r="D184" s="9" t="str">
        <x:v>Video Speedway</x:v>
      </x:c>
      <x:c r="E184" s="9" t="str"/>
      <x:c r="F184" s="9" t="str">
        <x:v>ISG Productions</x:v>
      </x:c>
      <x:c r="G184" s="9" t="str">
        <x:v>Philips Interactive Media</x:v>
      </x:c>
      <x:c r="H184" s="9" t="n">
        <x:v>1992</x:v>
      </x:c>
      <x:c r="I184" s="9" t="str">
        <x:v>Yes</x:v>
      </x:c>
      <x:c r="J184" s="9" t="str">
        <x:v>Yes</x:v>
      </x:c>
      <x:c r="K184" s="9" t="str">
        <x:v>Yes</x:v>
      </x:c>
      <x:c r="L184" s="9" t="str">
        <x:v>No</x:v>
      </x:c>
      <x:c r="M184" s="9" t="str">
        <x:v>Racing</x:v>
      </x:c>
      <x:c r="N184" s="9" t="str">
        <x:v>Live-action</x:v>
      </x:c>
      <x:c r="O184" s="9" t="n">
        <x:v>3</x:v>
      </x:c>
      <x:c r="P184" s="9" t="str">
        <x:v>Sports w/ FMV</x:v>
      </x:c>
      <x:c r="Q184" s="9" t="str">
        <x:v>Released</x:v>
      </x:c>
      <x:c r="R184" s="9" t="str">
        <x:v>Original production</x:v>
      </x:c>
      <x:c r="S184" s="9" t="str">
        <x:v>None</x:v>
      </x:c>
      <x:c r="T184" s="9" t="str">
        <x:v>—</x:v>
      </x:c>
      <x:c r="U184" s="9" t="n">
        <x:v>1</x:v>
      </x:c>
      <x:c r="V184" s="9" t="str">
        <x:v>Unknown — verify</x:v>
      </x:c>
      <x:c r="W184" s="9" t="str">
        <x:v>CD-i Digital Video Cartridge not used. Gamepad; 1–4 players.</x:v>
      </x:c>
      <x:c r="X184" s="9" t="str">
        <x:v>Low–Med</x:v>
      </x:c>
      <x:c r="Y184" s="9" t="str">
        <x:v>Stock racing footage (verify licensing)</x:v>
      </x:c>
      <x:c r="Z184" s="9" t="str">
        <x:v>1–2 hr</x:v>
      </x:c>
      <x:c r="AA184" s="9" t="str">
        <x:v>A 1992 CD-i racer built on digitized stock racing footage, filmed mechanic and trophy-girl clips, graded F by the Video Game Critic.</x:v>
      </x:c>
      <x:c r="AB184" s="9" t="str">
        <x:v>None known</x:v>
      </x:c>
      <x:c r="AC184" s="9" t="str">
        <x:v>Digitized base-case video of racing footage and filmed scenes</x:v>
      </x:c>
      <x:c r="AD184" s="9" t="str">
        <x:v>Plodding; little sense of speed</x:v>
      </x:c>
      <x:c r="AE184" s="9" t="str">
        <x:v>Championship win</x:v>
      </x:c>
      <x:c r="AF184" s="9" t="str">
        <x:v>David Mullich is credited as producer and writer (IMDb).</x:v>
      </x:c>
      <x:c r="AG184" s="9" t="str">
        <x:v>US 310690093-2, worldwide 8190011</x:v>
      </x:c>
      <x:c r="AH184" s="9" t="str">
        <x:v>No</x:v>
      </x:c>
      <x:c r="AI184" s="9" t="str">
        <x:v>Easy</x:v>
      </x:c>
      <x:c r="AJ184" s="9"/>
      <x:c r="AK184" s="9" t="str">
        <x:v>10 tracks from karts to Formula 1. IMDb dates it 1993. MobyGames critic average 27% from 3 reviews (CD-i only title).</x:v>
      </x:c>
      <x:c r="AL184" s="10" t="n">
        <x:v>7.77</x:v>
      </x:c>
      <x:c r="AM184" s="10" t="n">
        <x:v>14.71</x:v>
      </x:c>
      <x:c r="AN184" s="10" t="n">
        <x:v>22.94</x:v>
      </x:c>
      <x:c r="AO184" s="9" t="str">
        <x:v>2026-10-20</x:v>
      </x:c>
      <x:c r="AP184" s="11" t="str">
        <x:f>HYPERLINK("https://www.pricecharting.com/game/cd-i/video-speedway","PriceCharting")</x:f>
        <x:v>PriceCharting</x:v>
      </x:c>
      <x:c r="AQ184" s="9"/>
      <x:c r="AR184" s="9"/>
      <x:c r="AS184" s="9"/>
      <x:c r="AT184" s="9"/>
      <x:c r="AU184" s="9"/>
      <x:c r="AV184" s="9"/>
      <x:c r="AW184" s="9"/>
      <x:c r="AX184" s="9"/>
      <x:c r="AY184" s="9" t="str">
        <x:v>27%</x:v>
      </x:c>
      <x:c r="AZ184" s="9"/>
      <x:c r="BA184" s="11" t="str">
        <x:f>HYPERLINK("https://www.mobygames.com/game/39608/video-speedway/","MobyGames")</x:f>
        <x:v>MobyGames</x:v>
      </x:c>
      <x:c r="BB184" s="9"/>
      <x:c r="BC184" s="9"/>
      <x:c r="BD184" s="9"/>
      <x:c r="BE184" s="9"/>
      <x:c r="BF184" s="11" t="str">
        <x:f>HYPERLINK("https://backloggd.com/search/games/Video%20Speedway/","Backloggd")</x:f>
        <x:v>Backloggd</x:v>
      </x:c>
      <x:c r="BG184" s="9"/>
      <x:c r="BH184" s="9"/>
      <x:c r="BI184" s="12" t="str">
        <x:v>No</x:v>
      </x:c>
      <x:c r="BJ184" s="12" t="str"/>
      <x:c r="BK184" s="12" t="str">
        <x:v>No</x:v>
      </x:c>
      <x:c r="BL184" s="12" t="str"/>
      <x:c r="BM184" s="12" t="str"/>
      <x:c r="BN184" s="12" t="str"/>
      <x:c r="BO184" s="12" t="str"/>
      <x:c r="BP184" s="12" t="str"/>
      <x:c r="BQ184" s="12" t="str"/>
    </x:row>
    <x:row r="185">
      <x:c r="A185" s="9" t="str">
        <x:v>cdi-40</x:v>
      </x:c>
      <x:c r="B185" s="9" t="str">
        <x:v>link-the-faces-of-evil</x:v>
      </x:c>
      <x:c r="C185" s="9" t="str">
        <x:v>Philips CD-i</x:v>
      </x:c>
      <x:c r="D185" s="9" t="str">
        <x:v>Link: The Faces of Evil</x:v>
      </x:c>
      <x:c r="E185" s="9" t="str"/>
      <x:c r="F185" s="9" t="str">
        <x:v>Animation Magic</x:v>
      </x:c>
      <x:c r="G185" s="9" t="str">
        <x:v>Philips Interactive Media</x:v>
      </x:c>
      <x:c r="H185" s="9" t="n">
        <x:v>1993</x:v>
      </x:c>
      <x:c r="I185" s="9" t="str">
        <x:v>Yes</x:v>
      </x:c>
      <x:c r="J185" s="9" t="str">
        <x:v>No</x:v>
      </x:c>
      <x:c r="K185" s="9" t="str">
        <x:v>Yes</x:v>
      </x:c>
      <x:c r="L185" s="9" t="str">
        <x:v>No</x:v>
      </x:c>
      <x:c r="M185" s="9" t="str">
        <x:v>Side-scrolling action-adventure</x:v>
      </x:c>
      <x:c r="N185" s="9" t="str">
        <x:v>Animated</x:v>
      </x:c>
      <x:c r="O185" s="9" t="n">
        <x:v>2</x:v>
      </x:c>
      <x:c r="P185" s="9" t="str">
        <x:v>Cutscenes only</x:v>
      </x:c>
      <x:c r="Q185" s="9" t="str">
        <x:v>Released</x:v>
      </x:c>
      <x:c r="R185" s="9" t="str">
        <x:v>Original production under Nintendo licence (Zelda characters, from the cancelled SNES CD deal)</x:v>
      </x:c>
      <x:c r="S185" s="9" t="str">
        <x:v>None</x:v>
      </x:c>
      <x:c r="T185" s="9" t="str">
        <x:v>Jeffrey Rath (Link), Bonnie Jean Wilbur (Zelda), Paul Wann (various); Boston-area community theatre actors (Wikipedia). Animated in Animation Magic's studios.</x:v>
      </x:c>
      <x:c r="U185" s="9" t="n">
        <x:v>1</x:v>
      </x:c>
      <x:c r="V185" s="9" t="str">
        <x:v>Yes (CD-i NVRAM save slots)</x:v>
      </x:c>
      <x:c r="W185" s="9" t="str">
        <x:v>Standard CD-i controller (thumbstick/gamepad/touchpad); Digital Video Cartridge not used — cutscenes are base-CD-i animation</x:v>
      </x:c>
      <x:c r="X185" s="9" t="str">
        <x:v>Low</x:v>
      </x:c>
      <x:c r="Y185" s="9" t="str">
        <x:v>Nintendo occasionally claims Zelda content; cutscenes are widely reposted YouTube Poop material, so fingerprint matches are possible</x:v>
      </x:c>
      <x:c r="Z185" s="9" t="str">
        <x:v>3–5 hr</x:v>
      </x:c>
      <x:c r="AA185" s="9" t="str">
        <x:v>The infamous 'Squadala, we're off!' game: the cutscenes that launched a decade of YouTube Poop.</x:v>
      </x:c>
      <x:c r="AB185" s="9" t="str">
        <x:v>None known (verify)</x:v>
      </x:c>
      <x:c r="AC185" s="9" t="str">
        <x:v>Hand-drawn animated cutscenes streamed from disc, partial frame rate, low colour; roughly 10+ minutes total across both Zelda titles' ~21 min of combined cutscenes</x:v>
      </x:c>
      <x:c r="AD185" s="9" t="str">
        <x:v>Hard and unfair: imprecise controls, slow sword, punishing platforming</x:v>
      </x:c>
      <x:c r="AE185" s="9" t="str">
        <x:v>Single ending after defeating Ganon</x:v>
      </x:c>
      <x:c r="AF185" s="9" t="str">
        <x:v>Released alongside Wand of Gamelon on the same day; Nintendo granted Philips the characters after the SNES-CD partnership collapsed. A 2020 fan project re-animated all 21 min of both games' cutscenes.</x:v>
      </x:c>
      <x:c r="AG185" s="9" t="str">
        <x:v>NA long box/jewel case; EU release Dec 1993</x:v>
      </x:c>
      <x:c r="AH185" s="9" t="str">
        <x:v>No</x:v>
      </x:c>
      <x:c r="AI185" s="9" t="str">
        <x:v>Expensive</x:v>
      </x:c>
      <x:c r="AJ185" s="9"/>
      <x:c r="AK185" s="9" t="str">
        <x:v>Released NA 10 Oct 1993, EU Dec 1993 per search. Cutscene runtime for this game alone not confirmed.</x:v>
      </x:c>
      <x:c r="AL185" s="10" t="n">
        <x:v>150</x:v>
      </x:c>
      <x:c r="AM185" s="10" t="n">
        <x:v>341.08</x:v>
      </x:c>
      <x:c r="AN185" s="10" t="n">
        <x:v>706.02</x:v>
      </x:c>
      <x:c r="AO185" s="9" t="str">
        <x:v>2026-10-20</x:v>
      </x:c>
      <x:c r="AP185" s="11" t="str">
        <x:f>HYPERLINK("https://www.pricecharting.com/game/cd-i/link-the-faces-of-evil","PriceCharting")</x:f>
        <x:v>PriceCharting</x:v>
      </x:c>
      <x:c r="AQ185" s="9"/>
      <x:c r="AR185" s="9"/>
      <x:c r="AS185" s="9"/>
      <x:c r="AT185" s="9"/>
      <x:c r="AU185" s="9"/>
      <x:c r="AV185" s="9"/>
      <x:c r="AW185" s="9"/>
      <x:c r="AX185" s="9"/>
      <x:c r="AY185" s="9" t="str">
        <x:v>45%</x:v>
      </x:c>
      <x:c r="AZ185" s="9" t="str">
        <x:v>1.8</x:v>
      </x:c>
      <x:c r="BA185" s="11" t="str">
        <x:f>HYPERLINK("https://www.mobygames.com/game/21409/link-the-faces-of-evil/","MobyGames")</x:f>
        <x:v>MobyGames</x:v>
      </x:c>
      <x:c r="BB185" s="9"/>
      <x:c r="BC185" s="9"/>
      <x:c r="BD185" s="9"/>
      <x:c r="BE185" s="11" t="str">
        <x:f>HYPERLINK("https://en.wikipedia.org/wiki/Link:_The_Faces_of_Evil_and_Zelda:_The_Wand_of_Gamelon","Wikipedia")</x:f>
        <x:v>Wikipedia</x:v>
      </x:c>
      <x:c r="BF185" s="11" t="str">
        <x:f>HYPERLINK("https://backloggd.com/search/games/Link%3A%20The%20Faces%20of%20Evil/","Backloggd")</x:f>
        <x:v>Backloggd</x:v>
      </x:c>
      <x:c r="BG185" s="9"/>
      <x:c r="BH185" s="9"/>
      <x:c r="BI185" s="12" t="str">
        <x:v>No</x:v>
      </x:c>
      <x:c r="BJ185" s="12" t="str"/>
      <x:c r="BK185" s="12" t="str">
        <x:v>No</x:v>
      </x:c>
      <x:c r="BL185" s="12" t="str"/>
      <x:c r="BM185" s="12" t="str"/>
      <x:c r="BN185" s="12" t="str"/>
      <x:c r="BO185" s="12" t="str"/>
      <x:c r="BP185" s="12" t="str"/>
      <x:c r="BQ185" s="12" t="str"/>
    </x:row>
    <x:row r="186">
      <x:c r="A186" s="9" t="str">
        <x:v>cdi-41</x:v>
      </x:c>
      <x:c r="B186" s="9" t="str">
        <x:v>zelda-the-wand-of-gamelon</x:v>
      </x:c>
      <x:c r="C186" s="9" t="str">
        <x:v>Philips CD-i</x:v>
      </x:c>
      <x:c r="D186" s="9" t="str">
        <x:v>Zelda: The Wand of Gamelon</x:v>
      </x:c>
      <x:c r="E186" s="9" t="str"/>
      <x:c r="F186" s="9" t="str">
        <x:v>Animation Magic</x:v>
      </x:c>
      <x:c r="G186" s="9" t="str">
        <x:v>Philips Interactive Media</x:v>
      </x:c>
      <x:c r="H186" s="9" t="n">
        <x:v>1993</x:v>
      </x:c>
      <x:c r="I186" s="9" t="str">
        <x:v>Yes</x:v>
      </x:c>
      <x:c r="J186" s="9" t="str">
        <x:v>No</x:v>
      </x:c>
      <x:c r="K186" s="9" t="str">
        <x:v>Yes</x:v>
      </x:c>
      <x:c r="L186" s="9" t="str">
        <x:v>No</x:v>
      </x:c>
      <x:c r="M186" s="9" t="str">
        <x:v>Side-scrolling action-adventure</x:v>
      </x:c>
      <x:c r="N186" s="9" t="str">
        <x:v>Animated</x:v>
      </x:c>
      <x:c r="O186" s="9" t="n">
        <x:v>2</x:v>
      </x:c>
      <x:c r="P186" s="9" t="str">
        <x:v>Cutscenes only</x:v>
      </x:c>
      <x:c r="Q186" s="9" t="str">
        <x:v>Released</x:v>
      </x:c>
      <x:c r="R186" s="9" t="str">
        <x:v>Original production under Nintendo licence (sister game to Faces of Evil, same engine)</x:v>
      </x:c>
      <x:c r="S186" s="9" t="str">
        <x:v>None</x:v>
      </x:c>
      <x:c r="T186" s="9" t="str">
        <x:v>Bonnie Jean Wilbur (Zelda), Jeffrey Rath (Link), Paul Wann (various) (Wikipedia)</x:v>
      </x:c>
      <x:c r="U186" s="9" t="n">
        <x:v>1</x:v>
      </x:c>
      <x:c r="V186" s="9" t="str">
        <x:v>Yes (CD-i NVRAM save slots)</x:v>
      </x:c>
      <x:c r="W186" s="9" t="str">
        <x:v>Standard CD-i controller; Digital Video Cartridge not used</x:v>
      </x:c>
      <x:c r="X186" s="9" t="str">
        <x:v>Low</x:v>
      </x:c>
      <x:c r="Y186" s="9" t="str">
        <x:v>Cutscenes are heavily reused in meme videos; possible third-party or Nintendo claims</x:v>
      </x:c>
      <x:c r="Z186" s="9" t="str">
        <x:v>3–5 hr</x:v>
      </x:c>
      <x:c r="AA186" s="9" t="str">
        <x:v>Zelda gets her own game and the King's 'I wonder what's for dinner' line becomes internet legend.</x:v>
      </x:c>
      <x:c r="AB186" s="9" t="str">
        <x:v>None known (verify)</x:v>
      </x:c>
      <x:c r="AC186" s="9" t="str">
        <x:v>Hand-drawn animated cutscenes streamed from disc, partial frame rate; low-colour CD-i animation</x:v>
      </x:c>
      <x:c r="AD186" s="9" t="str">
        <x:v>Hard; same stiff controls as Faces of Evil</x:v>
      </x:c>
      <x:c r="AE186" s="9" t="str">
        <x:v>Single ending after defeating Ganon</x:v>
      </x:c>
      <x:c r="AF186" s="9" t="str">
        <x:v>The only game in the series at the time with Zelda as the playable lead. Built on the same engine as Faces of Evil and released the same day.</x:v>
      </x:c>
      <x:c r="AG186" s="9" t="str">
        <x:v>NA and EU releases; FR box art variant exists</x:v>
      </x:c>
      <x:c r="AH186" s="9" t="str">
        <x:v>No</x:v>
      </x:c>
      <x:c r="AI186" s="9" t="str">
        <x:v>Expensive</x:v>
      </x:c>
      <x:c r="AJ186" s="9"/>
      <x:c r="AK186" s="9" t="str">
        <x:v>Released NA 10 Oct 1993, EU Dec 1993.</x:v>
      </x:c>
      <x:c r="AL186" s="10" t="n">
        <x:v>150</x:v>
      </x:c>
      <x:c r="AM186" s="10" t="n">
        <x:v>218.89</x:v>
      </x:c>
      <x:c r="AN186" s="10" t="n">
        <x:v>499.99</x:v>
      </x:c>
      <x:c r="AO186" s="9" t="str">
        <x:v>2026-10-20</x:v>
      </x:c>
      <x:c r="AP186" s="11" t="str">
        <x:f>HYPERLINK("https://www.pricecharting.com/game/cd-i/zelda-the-wand-of-gamelon","PriceCharting")</x:f>
        <x:v>PriceCharting</x:v>
      </x:c>
      <x:c r="AQ186" s="9"/>
      <x:c r="AR186" s="9"/>
      <x:c r="AS186" s="9"/>
      <x:c r="AT186" s="9"/>
      <x:c r="AU186" s="9"/>
      <x:c r="AV186" s="9"/>
      <x:c r="AW186" s="9"/>
      <x:c r="AX186" s="9"/>
      <x:c r="AY186" s="9" t="str">
        <x:v>42%</x:v>
      </x:c>
      <x:c r="AZ186" s="9" t="str">
        <x:v>2.1</x:v>
      </x:c>
      <x:c r="BA186" s="11" t="str">
        <x:f>HYPERLINK("https://www.mobygames.com/game/21134/zelda-the-wand-of-gamelon/","MobyGames")</x:f>
        <x:v>MobyGames</x:v>
      </x:c>
      <x:c r="BB186" s="9"/>
      <x:c r="BC186" s="9"/>
      <x:c r="BD186" s="9"/>
      <x:c r="BE186" s="11" t="str">
        <x:f>HYPERLINK("https://en.wikipedia.org/wiki/Link:_The_Faces_of_Evil_and_Zelda:_The_Wand_of_Gamelon","Wikipedia")</x:f>
        <x:v>Wikipedia</x:v>
      </x:c>
      <x:c r="BF186" s="11" t="str">
        <x:f>HYPERLINK("https://backloggd.com/search/games/Zelda%3A%20The%20Wand%20of%20Gamelon/","Backloggd")</x:f>
        <x:v>Backloggd</x:v>
      </x:c>
      <x:c r="BG186" s="9"/>
      <x:c r="BH186" s="9"/>
      <x:c r="BI186" s="12" t="str">
        <x:v>No</x:v>
      </x:c>
      <x:c r="BJ186" s="12" t="str"/>
      <x:c r="BK186" s="12" t="str">
        <x:v>No</x:v>
      </x:c>
      <x:c r="BL186" s="12" t="str"/>
      <x:c r="BM186" s="12" t="str"/>
      <x:c r="BN186" s="12" t="str"/>
      <x:c r="BO186" s="12" t="str"/>
      <x:c r="BP186" s="12" t="str"/>
      <x:c r="BQ186" s="12" t="str"/>
    </x:row>
    <x:row r="187">
      <x:c r="A187" s="9" t="str">
        <x:v>cdi-42</x:v>
      </x:c>
      <x:c r="B187" s="9" t="str">
        <x:v>zeldas-adventure</x:v>
      </x:c>
      <x:c r="C187" s="9" t="str">
        <x:v>Philips CD-i</x:v>
      </x:c>
      <x:c r="D187" s="9" t="str">
        <x:v>Zelda's Adventure</x:v>
      </x:c>
      <x:c r="E187" s="9" t="str"/>
      <x:c r="F187" s="9" t="str">
        <x:v>Viridis</x:v>
      </x:c>
      <x:c r="G187" s="9" t="str">
        <x:v>Philips Media</x:v>
      </x:c>
      <x:c r="H187" s="9" t="n">
        <x:v>1996</x:v>
      </x:c>
      <x:c r="I187" s="9" t="str">
        <x:v>No</x:v>
      </x:c>
      <x:c r="J187" s="9" t="str">
        <x:v>No</x:v>
      </x:c>
      <x:c r="K187" s="9" t="str">
        <x:v>Yes</x:v>
      </x:c>
      <x:c r="L187" s="9" t="str">
        <x:v>No</x:v>
      </x:c>
      <x:c r="M187" s="9" t="str">
        <x:v>Top-down action-adventure</x:v>
      </x:c>
      <x:c r="N187" s="9" t="str">
        <x:v>Live-action</x:v>
      </x:c>
      <x:c r="O187" s="9" t="n">
        <x:v>2</x:v>
      </x:c>
      <x:c r="P187" s="9" t="str">
        <x:v>Cutscenes only</x:v>
      </x:c>
      <x:c r="Q187" s="9" t="str">
        <x:v>Released</x:v>
      </x:c>
      <x:c r="R187" s="9" t="str">
        <x:v>Original production under Nintendo licence</x:v>
      </x:c>
      <x:c r="S187" s="9" t="str">
        <x:v>None</x:v>
      </x:c>
      <x:c r="T187" s="9" t="str">
        <x:v>Diane Burns and Annie Ward (Zelda); Mark Andrade (Gaspra, also composer), voice dubbed by Hal Smith in his final role (Wikipedia)</x:v>
      </x:c>
      <x:c r="U187" s="9" t="n">
        <x:v>1</x:v>
      </x:c>
      <x:c r="V187" s="9" t="str">
        <x:v>Yes</x:v>
      </x:c>
      <x:c r="W187" s="9" t="str">
        <x:v>Standard CD-i controller; Digital Video Cartridge not used</x:v>
      </x:c>
      <x:c r="X187" s="9" t="str">
        <x:v>Low</x:v>
      </x:c>
      <x:c r="Y187" s="9" t="str"/>
      <x:c r="Z187" s="9" t="str">
        <x:v>5–8 hr</x:v>
      </x:c>
      <x:c r="AA187" s="9" t="str">
        <x:v>The only Zelda game with live-action FMV, shot on blue screen with Viridis employees in costume.</x:v>
      </x:c>
      <x:c r="AB187" s="9" t="str">
        <x:v>None known (verify)</x:v>
      </x:c>
      <x:c r="AC187" s="9" t="str">
        <x:v>Live-action blue-screen intro/ending FMV; in-game graphics digitised from photos and videotaped staff on a treadmill; slow loading</x:v>
      </x:c>
      <x:c r="AD187" s="9" t="str">
        <x:v>Hard; very slow movement and long loads between screens</x:v>
      </x:c>
      <x:c r="AE187" s="9" t="str">
        <x:v>Single ending</x:v>
      </x:c>
      <x:c r="AF187" s="9" t="str">
        <x:v>Many enemies are Viridis employees in costume videotaped walking on a treadmill. A North American release was announced for Q2 1996 but silently cancelled.</x:v>
      </x:c>
      <x:c r="AG187" s="9" t="str">
        <x:v>EU only (NL Feb 1996, UK 10 May 1996); 1994 preview dates slipped</x:v>
      </x:c>
      <x:c r="AH187" s="9" t="str">
        <x:v>No</x:v>
      </x:c>
      <x:c r="AI187" s="9" t="str">
        <x:v>Expensive</x:v>
      </x:c>
      <x:c r="AJ187" s="9"/>
      <x:c r="AK187" s="9" t="str">
        <x:v>Some sources (Looper, Zeldauniverse) wrongly claim a 1994 NA release; TCRF and Giant Bomb give EU-only 1996.</x:v>
      </x:c>
      <x:c r="AL187" s="10" t="n">
        <x:v>561.75</x:v>
      </x:c>
      <x:c r="AM187" s="10" t="n">
        <x:v>1326.45</x:v>
      </x:c>
      <x:c r="AN187" s="10" t="n">
        <x:v>2653</x:v>
      </x:c>
      <x:c r="AO187" s="9" t="str">
        <x:v>2026-10-20</x:v>
      </x:c>
      <x:c r="AP187" s="11" t="str">
        <x:f>HYPERLINK("https://www.pricecharting.com/game/cd-i/zelda%27s-adventure","PriceCharting")</x:f>
        <x:v>PriceCharting</x:v>
      </x:c>
      <x:c r="AQ187" s="9"/>
      <x:c r="AR187" s="9"/>
      <x:c r="AS187" s="9"/>
      <x:c r="AT187" s="9"/>
      <x:c r="AU187" s="9"/>
      <x:c r="AV187" s="9"/>
      <x:c r="AW187" s="9"/>
      <x:c r="AX187" s="9"/>
      <x:c r="AY187" s="9" t="str">
        <x:v>63%</x:v>
      </x:c>
      <x:c r="AZ187" s="9" t="str">
        <x:v>1.8</x:v>
      </x:c>
      <x:c r="BA187" s="11" t="str">
        <x:f>HYPERLINK("https://www.mobygames.com/game/21133/zeldas-adventure/","MobyGames")</x:f>
        <x:v>MobyGames</x:v>
      </x:c>
      <x:c r="BB187" s="9"/>
      <x:c r="BC187" s="9"/>
      <x:c r="BD187" s="9"/>
      <x:c r="BE187" s="11" t="str">
        <x:f>HYPERLINK("https://en.wikipedia.org/wiki/Zelda%27s_Adventure","Wikipedia")</x:f>
        <x:v>Wikipedia</x:v>
      </x:c>
      <x:c r="BF187" s="11" t="str">
        <x:f>HYPERLINK("https://backloggd.com/search/games/Zelda%27s%20Adventure/","Backloggd")</x:f>
        <x:v>Backloggd</x:v>
      </x:c>
      <x:c r="BG187" s="9"/>
      <x:c r="BH187" s="9"/>
      <x:c r="BI187" s="12" t="str">
        <x:v>No</x:v>
      </x:c>
      <x:c r="BJ187" s="12" t="str"/>
      <x:c r="BK187" s="12" t="str">
        <x:v>No</x:v>
      </x:c>
      <x:c r="BL187" s="12" t="str"/>
      <x:c r="BM187" s="12" t="str"/>
      <x:c r="BN187" s="12" t="str"/>
      <x:c r="BO187" s="12" t="str"/>
      <x:c r="BP187" s="12" t="str"/>
      <x:c r="BQ187" s="12" t="str"/>
    </x:row>
    <x:row r="188">
      <x:c r="A188" s="9" t="str">
        <x:v>cdi-43</x:v>
      </x:c>
      <x:c r="B188" s="9" t="str">
        <x:v>hotel-mario</x:v>
      </x:c>
      <x:c r="C188" s="9" t="str">
        <x:v>Philips CD-i</x:v>
      </x:c>
      <x:c r="D188" s="9" t="str">
        <x:v>Hotel Mario</x:v>
      </x:c>
      <x:c r="E188" s="9" t="str"/>
      <x:c r="F188" s="9" t="str">
        <x:v>Fantasy Factory</x:v>
      </x:c>
      <x:c r="G188" s="9" t="str">
        <x:v>Philips Interactive Media</x:v>
      </x:c>
      <x:c r="H188" s="9" t="n">
        <x:v>1994</x:v>
      </x:c>
      <x:c r="I188" s="9" t="str">
        <x:v>Yes</x:v>
      </x:c>
      <x:c r="J188" s="9" t="str">
        <x:v>No</x:v>
      </x:c>
      <x:c r="K188" s="9" t="str">
        <x:v>Yes</x:v>
      </x:c>
      <x:c r="L188" s="9" t="str">
        <x:v>No</x:v>
      </x:c>
      <x:c r="M188" s="9" t="str">
        <x:v>Puzzle / action (door-closing)</x:v>
      </x:c>
      <x:c r="N188" s="9" t="str">
        <x:v>Animated</x:v>
      </x:c>
      <x:c r="O188" s="9" t="n">
        <x:v>2</x:v>
      </x:c>
      <x:c r="P188" s="9" t="str">
        <x:v>Cutscenes only</x:v>
      </x:c>
      <x:c r="Q188" s="9" t="str">
        <x:v>Released</x:v>
      </x:c>
      <x:c r="R188" s="9" t="str">
        <x:v>Original production under Nintendo licence</x:v>
      </x:c>
      <x:c r="S188" s="9" t="str">
        <x:v>None</x:v>
      </x:c>
      <x:c r="T188" s="9" t="str">
        <x:v>Marc Graue (Mario, Luigi, Bowser), Jocelyn Benford (Princess Toadstool)</x:v>
      </x:c>
      <x:c r="U188" s="9" t="n">
        <x:v>1</x:v>
      </x:c>
      <x:c r="V188" s="9" t="str">
        <x:v>Yes (verify)</x:v>
      </x:c>
      <x:c r="W188" s="9" t="str">
        <x:v>Standard CD-i controller; Digital Video Cartridge not used</x:v>
      </x:c>
      <x:c r="X188" s="9" t="str">
        <x:v>Low</x:v>
      </x:c>
      <x:c r="Y188" s="9" t="str">
        <x:v>Cutscenes are reposted widely in meme videos</x:v>
      </x:c>
      <x:c r="Z188" s="9" t="str">
        <x:v>2–4 hr</x:v>
      </x:c>
      <x:c r="AA188" s="9" t="str">
        <x:v>'Thank you so much for to playing my game!' — the cutscenes that became a meme staple.</x:v>
      </x:c>
      <x:c r="AB188" s="9" t="str">
        <x:v>None known (verify)</x:v>
      </x:c>
      <x:c r="AC188" s="9" t="str">
        <x:v>Animated FMV cutscenes (by Ocatillo Pictures: Terry O'Brien, Kathleen Swain, Bonita Versh) at partial frame rate</x:v>
      </x:c>
      <x:c r="AD188" s="9" t="str">
        <x:v>Moderate, gets repetitive; 7 hotels of door-closing stages</x:v>
      </x:c>
      <x:c r="AE188" s="9" t="str">
        <x:v>Single ending</x:v>
      </x:c>
      <x:c r="AF188" s="9" t="str">
        <x:v>Mario is not voiced by Charles Martinet but by Marc Graue, who in 2008 said he found the fan-video revival flattering.</x:v>
      </x:c>
      <x:c r="AG188" s="9" t="str">
        <x:v>NA and EU releases</x:v>
      </x:c>
      <x:c r="AH188" s="9" t="str">
        <x:v>No</x:v>
      </x:c>
      <x:c r="AI188" s="9" t="str">
        <x:v>Easy</x:v>
      </x:c>
      <x:c r="AJ188" s="9"/>
      <x:c r="AK188" s="9" t="str">
        <x:v>Release date disputed: April 1994 (most sources) vs July 1994 (Wikipedia).</x:v>
      </x:c>
      <x:c r="AL188" s="10" t="n">
        <x:v>75.67</x:v>
      </x:c>
      <x:c r="AM188" s="10" t="n">
        <x:v>158.74</x:v>
      </x:c>
      <x:c r="AN188" s="10" t="n">
        <x:v>464.22</x:v>
      </x:c>
      <x:c r="AO188" s="9" t="str">
        <x:v>2026-10-20</x:v>
      </x:c>
      <x:c r="AP188" s="11" t="str">
        <x:f>HYPERLINK("https://www.pricecharting.com/game/cd-i/hotel-mario","PriceCharting")</x:f>
        <x:v>PriceCharting</x:v>
      </x:c>
      <x:c r="AQ188" s="9"/>
      <x:c r="AR188" s="9"/>
      <x:c r="AS188" s="9"/>
      <x:c r="AT188" s="9"/>
      <x:c r="AU188" s="9"/>
      <x:c r="AV188" s="9"/>
      <x:c r="AW188" s="9"/>
      <x:c r="AX188" s="9"/>
      <x:c r="AY188" s="9" t="str">
        <x:v>68%</x:v>
      </x:c>
      <x:c r="AZ188" s="9" t="str">
        <x:v>2.1</x:v>
      </x:c>
      <x:c r="BA188" s="11" t="str">
        <x:f>HYPERLINK("https://www.mobygames.com/game/21411/hotel-mario/","MobyGames")</x:f>
        <x:v>MobyGames</x:v>
      </x:c>
      <x:c r="BB188" s="9"/>
      <x:c r="BC188" s="9"/>
      <x:c r="BD188" s="9"/>
      <x:c r="BE188" s="11" t="str">
        <x:f>HYPERLINK("https://en.wikipedia.org/wiki/Hotel_Mario","Wikipedia")</x:f>
        <x:v>Wikipedia</x:v>
      </x:c>
      <x:c r="BF188" s="11" t="str">
        <x:f>HYPERLINK("https://backloggd.com/search/games/Hotel%20Mario/","Backloggd")</x:f>
        <x:v>Backloggd</x:v>
      </x:c>
      <x:c r="BG188" s="9"/>
      <x:c r="BH188" s="9"/>
      <x:c r="BI188" s="12" t="str">
        <x:v>No</x:v>
      </x:c>
      <x:c r="BJ188" s="12" t="str"/>
      <x:c r="BK188" s="12" t="str">
        <x:v>No</x:v>
      </x:c>
      <x:c r="BL188" s="12" t="str"/>
      <x:c r="BM188" s="12" t="str"/>
      <x:c r="BN188" s="12" t="str"/>
      <x:c r="BO188" s="12" t="str"/>
      <x:c r="BP188" s="12" t="str"/>
      <x:c r="BQ188" s="12" t="str"/>
    </x:row>
    <x:row r="189">
      <x:c r="A189" s="9" t="str">
        <x:v>cdi-44</x:v>
      </x:c>
      <x:c r="B189" s="9" t="str">
        <x:v>hanna-barberas-cartoon-carnival</x:v>
      </x:c>
      <x:c r="C189" s="9" t="str">
        <x:v>Philips CD-i</x:v>
      </x:c>
      <x:c r="D189" s="9" t="str">
        <x:v>Hanna-Barbera's Cartoon Carnival</x:v>
      </x:c>
      <x:c r="E189" s="9" t="str"/>
      <x:c r="F189" s="9" t="str">
        <x:v>Funhouse Design</x:v>
      </x:c>
      <x:c r="G189" s="9" t="str">
        <x:v>Philips Interactive Media</x:v>
      </x:c>
      <x:c r="H189" s="9" t="n">
        <x:v>1993</x:v>
      </x:c>
      <x:c r="I189" s="9" t="str">
        <x:v>Yes</x:v>
      </x:c>
      <x:c r="J189" s="9" t="str">
        <x:v>No</x:v>
      </x:c>
      <x:c r="K189" s="9" t="str">
        <x:v>Yes</x:v>
      </x:c>
      <x:c r="L189" s="9" t="str">
        <x:v>No</x:v>
      </x:c>
      <x:c r="M189" s="9" t="str">
        <x:v>Kids minigame collection</x:v>
      </x:c>
      <x:c r="N189" s="9" t="str">
        <x:v>Animated</x:v>
      </x:c>
      <x:c r="O189" s="9" t="n">
        <x:v>4</x:v>
      </x:c>
      <x:c r="P189" s="9" t="str">
        <x:v>Cutscenes only</x:v>
      </x:c>
      <x:c r="Q189" s="9" t="str">
        <x:v>Released</x:v>
      </x:c>
      <x:c r="R189" s="9" t="str">
        <x:v>Hanna-Barbera licence (classic cartoon shorts)</x:v>
      </x:c>
      <x:c r="S189" s="9" t="str">
        <x:v>Windows, Mac (1995)</x:v>
      </x:c>
      <x:c r="T189" s="9" t="str">
        <x:v>Hanna-Barbera characters (Huckleberry Hound, Fred Flintstone, Scooby-Doo, Yogi Bear, Jetsons, Top Cat)</x:v>
      </x:c>
      <x:c r="U189" s="9" t="n">
        <x:v>1</x:v>
      </x:c>
      <x:c r="V189" s="9" t="str">
        <x:v>Unknown — verify</x:v>
      </x:c>
      <x:c r="W189" s="9" t="str">
        <x:v>Digital Video Cartridge optional (The World of CD-i); standard CD-i controller.</x:v>
      </x:c>
      <x:c r="X189" s="9" t="str">
        <x:v>Med–High</x:v>
      </x:c>
      <x:c r="Y189" s="9" t="str">
        <x:v>Full Hanna-Barbera cartoon shorts (Warner Bros. owned) unlocked as MPEG video</x:v>
      </x:c>
      <x:c r="Z189" s="9" t="str">
        <x:v>2–3 hr (to unlock all)</x:v>
      </x:c>
      <x:c r="AA189" s="9" t="str">
        <x:v>Win minigames to unlock 30 full classic Hanna-Barbera cartoons in MPEG video.</x:v>
      </x:c>
      <x:c r="AB189" s="9" t="str">
        <x:v>None known</x:v>
      </x:c>
      <x:c r="AC189" s="9" t="str">
        <x:v>Full-screen MPEG cartoon shorts via the DV cartridge (verify)</x:v>
      </x:c>
      <x:c r="AD189" s="9" t="str">
        <x:v>Easy; aimed at children</x:v>
      </x:c>
      <x:c r="AE189" s="9" t="str">
        <x:v>No ending; collect 15 letters spelling CARTOON CARNIVAL to unlock one of 30 cartoons</x:v>
      </x:c>
      <x:c r="AF189" s="9" t="str">
        <x:v>ScummVM added the game for public testing in June 2026.</x:v>
      </x:c>
      <x:c r="AG189" s="9" t="str">
        <x:v>CD-i original; later PC/Mac port</x:v>
      </x:c>
      <x:c r="AH189" s="9" t="str">
        <x:v>No (playable via ScummVM testing build — verify)</x:v>
      </x:c>
      <x:c r="AI189" s="9" t="str">
        <x:v>Easy</x:v>
      </x:c>
      <x:c r="AJ189" s="9"/>
      <x:c r="AK189" s="9" t="str">
        <x:v>Category is approximate: the video is reward cartoons, not cutscenes; review whether this belongs in the index. DVC requirement from a single listing (verify).</x:v>
      </x:c>
      <x:c r="AL189" s="10" t="n">
        <x:v>12</x:v>
      </x:c>
      <x:c r="AM189" s="10" t="n">
        <x:v>18.26</x:v>
      </x:c>
      <x:c r="AN189" s="10" t="n">
        <x:v>22.93</x:v>
      </x:c>
      <x:c r="AO189" s="9" t="str">
        <x:v>2026-10-20</x:v>
      </x:c>
      <x:c r="AP189" s="11" t="str">
        <x:f>HYPERLINK("https://www.pricecharting.com/game/cd-i/cartoon-carnival","PriceCharting")</x:f>
        <x:v>PriceCharting</x:v>
      </x:c>
      <x:c r="AQ189" s="9"/>
      <x:c r="AR189" s="9"/>
      <x:c r="AS189" s="9"/>
      <x:c r="AT189" s="9"/>
      <x:c r="AU189" s="9"/>
      <x:c r="AV189" s="9"/>
      <x:c r="AW189" s="9"/>
      <x:c r="AX189" s="9"/>
      <x:c r="AY189" s="9"/>
      <x:c r="AZ189" s="9"/>
      <x:c r="BA189" s="11" t="str">
        <x:f>HYPERLINK("https://www.mobygames.com/game/40084/hanna-barberas-cartoon-carnival/","MobyGames")</x:f>
        <x:v>MobyGames</x:v>
      </x:c>
      <x:c r="BB189" s="9"/>
      <x:c r="BC189" s="9"/>
      <x:c r="BD189" s="9"/>
      <x:c r="BE189" s="9"/>
      <x:c r="BF189" s="11" t="str">
        <x:f>HYPERLINK("https://backloggd.com/search/games/Hanna-Barbera%27s%20Cartoon%20Carnival/","Backloggd")</x:f>
        <x:v>Backloggd</x:v>
      </x:c>
      <x:c r="BG189" s="9"/>
      <x:c r="BH189" s="9"/>
      <x:c r="BI189" s="12" t="str">
        <x:v>No</x:v>
      </x:c>
      <x:c r="BJ189" s="12" t="str"/>
      <x:c r="BK189" s="12" t="str">
        <x:v>No</x:v>
      </x:c>
      <x:c r="BL189" s="12" t="str"/>
      <x:c r="BM189" s="12" t="str"/>
      <x:c r="BN189" s="12" t="str"/>
      <x:c r="BO189" s="12" t="str"/>
      <x:c r="BP189" s="12" t="str"/>
      <x:c r="BQ189" s="12" t="str"/>
    </x:row>
    <x:row r="190">
      <x:c r="A190" s="9" t="str">
        <x:v>cdi-45</x:v>
      </x:c>
      <x:c r="B190" s="9" t="str">
        <x:v>the-wacky-world-of-miniature-golf-with-eugene-levy</x:v>
      </x:c>
      <x:c r="C190" s="9" t="str">
        <x:v>Philips CD-i</x:v>
      </x:c>
      <x:c r="D190" s="9" t="str">
        <x:v>The Wacky World of Miniature Golf with Eugene Levy</x:v>
      </x:c>
      <x:c r="E190" s="9" t="str"/>
      <x:c r="F190" s="9" t="str">
        <x:v>Philips Sidewalk Studio</x:v>
      </x:c>
      <x:c r="G190" s="9" t="str">
        <x:v>Philips Interactive Media</x:v>
      </x:c>
      <x:c r="H190" s="9" t="n">
        <x:v>1993</x:v>
      </x:c>
      <x:c r="I190" s="9" t="str">
        <x:v>Yes</x:v>
      </x:c>
      <x:c r="J190" s="9" t="str">
        <x:v>No</x:v>
      </x:c>
      <x:c r="K190" s="9" t="str">
        <x:v>Yes</x:v>
      </x:c>
      <x:c r="L190" s="9" t="str">
        <x:v>No</x:v>
      </x:c>
      <x:c r="M190" s="9" t="str">
        <x:v>Miniature golf</x:v>
      </x:c>
      <x:c r="N190" s="9" t="str">
        <x:v>Live-action</x:v>
      </x:c>
      <x:c r="O190" s="9" t="n">
        <x:v>3</x:v>
      </x:c>
      <x:c r="P190" s="9" t="str">
        <x:v>Sports w/ FMV</x:v>
      </x:c>
      <x:c r="Q190" s="9" t="str">
        <x:v>Released</x:v>
      </x:c>
      <x:c r="R190" s="9" t="str">
        <x:v>Original production</x:v>
      </x:c>
      <x:c r="S190" s="9" t="str">
        <x:v>None</x:v>
      </x:c>
      <x:c r="T190" s="9" t="str">
        <x:v>Eugene Levy (host/commentary)</x:v>
      </x:c>
      <x:c r="U190" s="9" t="n">
        <x:v>1</x:v>
      </x:c>
      <x:c r="V190" s="9" t="str">
        <x:v>Unknown — verify</x:v>
      </x:c>
      <x:c r="W190" s="9" t="str">
        <x:v>Standard CD-i controller/gamepad; Digital Video Cartridge not used (The World of CD-i).</x:v>
      </x:c>
      <x:c r="X190" s="9" t="str">
        <x:v>Low</x:v>
      </x:c>
      <x:c r="Y190" s="9" t="str"/>
      <x:c r="Z190" s="9" t="str">
        <x:v>1 hr</x:v>
      </x:c>
      <x:c r="AA190" s="9" t="str">
        <x:v>Eugene Levy cracks bad jokes over 18 holes of CD-i putt-putt.</x:v>
      </x:c>
      <x:c r="AB190" s="9" t="str">
        <x:v>None known</x:v>
      </x:c>
      <x:c r="AC190" s="9" t="str">
        <x:v>Eugene Levy video segments and animated obstacles; size/frame rate not confirmed (verify)</x:v>
      </x:c>
      <x:c r="AD190" s="9" t="str">
        <x:v>Easy; only three aim directions and no power meter</x:v>
      </x:c>
      <x:c r="AE190" s="9" t="str">
        <x:v>None; score-based 18 holes</x:v>
      </x:c>
      <x:c r="AF190" s="9" t="str">
        <x:v>Obstacles include an octopus and a dog that runs into your path.</x:v>
      </x:c>
      <x:c r="AG190" s="9" t="str">
        <x:v>US 310690180-2; Europe 8100135 (World of CD-i catalogue). No other editions known.</x:v>
      </x:c>
      <x:c r="AH190" s="9" t="str">
        <x:v>No</x:v>
      </x:c>
      <x:c r="AI190" s="9" t="str">
        <x:v>Easy</x:v>
      </x:c>
      <x:c r="AJ190" s="9"/>
      <x:c r="AK190" s="9" t="str">
        <x:v>Tagged 'Full Motion Video' on MyAbandonware; whether Levy appears on-screen in live action vs voice only (one listing names Rollo the Golfball as host) is unconfirmed — verify fmv score.</x:v>
      </x:c>
      <x:c r="AL190" s="10" t="n">
        <x:v>20.42</x:v>
      </x:c>
      <x:c r="AM190" s="10" t="n">
        <x:v>36.09</x:v>
      </x:c>
      <x:c r="AN190" s="10" t="n">
        <x:v>36.39</x:v>
      </x:c>
      <x:c r="AO190" s="9" t="str">
        <x:v>2026-10-20</x:v>
      </x:c>
      <x:c r="AP190" s="11" t="str">
        <x:f>HYPERLINK("https://www.pricecharting.com/game/cd-i/the-wacky-world-of-miniature-golf","PriceCharting")</x:f>
        <x:v>PriceCharting</x:v>
      </x:c>
      <x:c r="AQ190" s="9"/>
      <x:c r="AR190" s="9"/>
      <x:c r="AS190" s="9"/>
      <x:c r="AT190" s="9"/>
      <x:c r="AU190" s="9"/>
      <x:c r="AV190" s="9"/>
      <x:c r="AW190" s="9"/>
      <x:c r="AX190" s="9"/>
      <x:c r="AY190" s="9" t="str">
        <x:v>66%</x:v>
      </x:c>
      <x:c r="AZ190" s="9"/>
      <x:c r="BA190" s="11" t="str">
        <x:f>HYPERLINK("https://www.mobygames.com/game/39479/the-wacky-world-of-miniature-golf-with-eugene-levy/","MobyGames")</x:f>
        <x:v>MobyGames</x:v>
      </x:c>
      <x:c r="BB190" s="9"/>
      <x:c r="BC190" s="9"/>
      <x:c r="BD190" s="9"/>
      <x:c r="BE190" s="9"/>
      <x:c r="BF190" s="11" t="str">
        <x:f>HYPERLINK("https://backloggd.com/search/games/The%20Wacky%20World%20of%20Miniature%20Golf%20with%20Eugene%20Levy/","Backloggd")</x:f>
        <x:v>Backloggd</x:v>
      </x:c>
      <x:c r="BG190" s="9"/>
      <x:c r="BH190" s="9"/>
      <x:c r="BI190" s="12" t="str">
        <x:v>No</x:v>
      </x:c>
      <x:c r="BJ190" s="12" t="str"/>
      <x:c r="BK190" s="12" t="str">
        <x:v>No</x:v>
      </x:c>
      <x:c r="BL190" s="12" t="str"/>
      <x:c r="BM190" s="12" t="str"/>
      <x:c r="BN190" s="12" t="str"/>
      <x:c r="BO190" s="12" t="str"/>
      <x:c r="BP190" s="12" t="str"/>
      <x:c r="BQ190" s="12" t="str"/>
    </x:row>
    <x:row r="191">
      <x:c r="A191" s="9" t="str">
        <x:v>cdi-46</x:v>
      </x:c>
      <x:c r="B191" s="9" t="str">
        <x:v>caesars-world-of-boxing</x:v>
      </x:c>
      <x:c r="C191" s="9" t="str">
        <x:v>Philips CD-i</x:v>
      </x:c>
      <x:c r="D191" s="9" t="str">
        <x:v>Caesars World of Boxing</x:v>
      </x:c>
      <x:c r="E191" s="9" t="str"/>
      <x:c r="F191" s="9" t="str">
        <x:v>Philips P.O.V. Entertainment Group (MobyGames); The World of CD-i lists the producer as CD-i Systems</x:v>
      </x:c>
      <x:c r="G191" s="9" t="str">
        <x:v>Philips Interactive Media</x:v>
      </x:c>
      <x:c r="H191" s="9" t="n">
        <x:v>1993</x:v>
      </x:c>
      <x:c r="I191" s="9" t="str">
        <x:v>Yes</x:v>
      </x:c>
      <x:c r="J191" s="9" t="str">
        <x:v>Yes</x:v>
      </x:c>
      <x:c r="K191" s="9" t="str">
        <x:v>Yes</x:v>
      </x:c>
      <x:c r="L191" s="9" t="str">
        <x:v>No</x:v>
      </x:c>
      <x:c r="M191" s="9" t="str">
        <x:v>Boxing career / management</x:v>
      </x:c>
      <x:c r="N191" s="9" t="str">
        <x:v>Live-action</x:v>
      </x:c>
      <x:c r="O191" s="9" t="n">
        <x:v>6</x:v>
      </x:c>
      <x:c r="P191" s="9" t="str">
        <x:v>Sports w/ FMV</x:v>
      </x:c>
      <x:c r="Q191" s="9" t="str">
        <x:v>Released</x:v>
      </x:c>
      <x:c r="R191" s="9" t="str">
        <x:v>Original production; Caesars Palace licence</x:v>
      </x:c>
      <x:c r="S191" s="9" t="str">
        <x:v>None</x:v>
      </x:c>
      <x:c r="T191" s="9" t="str">
        <x:v>30+ actors as managers, trainers, rivals and entourage (names not confirmed)</x:v>
      </x:c>
      <x:c r="U191" s="9" t="n">
        <x:v>1</x:v>
      </x:c>
      <x:c r="V191" s="9" t="str">
        <x:v>Unknown — verify</x:v>
      </x:c>
      <x:c r="W191" s="9" t="str">
        <x:v>Digital Video Cartridge required (The World of CD-i and MobyGames agree). Gamepad, trackball or mouse; 1–2 players.</x:v>
      </x:c>
      <x:c r="X191" s="9" t="str">
        <x:v>Low</x:v>
      </x:c>
      <x:c r="Y191" s="9" t="str"/>
      <x:c r="Z191" s="9" t="str">
        <x:v>2–4 hr</x:v>
      </x:c>
      <x:c r="AA191" s="9" t="str">
        <x:v>A first-person boxing RPG told through live-action video of your boxer's shady entourage.</x:v>
      </x:c>
      <x:c r="AB191" s="9" t="str">
        <x:v>None known</x:v>
      </x:c>
      <x:c r="AC191" s="9" t="str">
        <x:v>Live-action video segments in a window, base-CD-i video (verify size/rate)</x:v>
      </x:c>
      <x:c r="AD191" s="9" t="str">
        <x:v>Unknown — verify</x:v>
      </x:c>
      <x:c r="AE191" s="9" t="str">
        <x:v>Branching career: heavyweight title or retire as an also-ran</x:v>
      </x:c>
      <x:c r="AF191" s="9" t="str">
        <x:v>Played more like a role-playing career sim than a sports game, with the player in first-person as the contender.</x:v>
      </x:c>
      <x:c r="AG191" s="9" t="str">
        <x:v>US 310690186-2; Europe 8100143; France 8120080; Japan PCIM-00005 (World of CD-i). MobyGames also lists UK jewel-case packaging.</x:v>
      </x:c>
      <x:c r="AH191" s="9" t="str">
        <x:v>No</x:v>
      </x:c>
      <x:c r="AI191" s="9" t="str">
        <x:v>Add-on required</x:v>
      </x:c>
      <x:c r="AJ191" s="9"/>
      <x:c r="AK191" s="9" t="str">
        <x:v>Year disputed: 1991 (Lutris) vs 1993 (eBay, MyAbandonware).</x:v>
      </x:c>
      <x:c r="AL191" s="10" t="n">
        <x:v>7.25</x:v>
      </x:c>
      <x:c r="AM191" s="10" t="n">
        <x:v>11.98</x:v>
      </x:c>
      <x:c r="AN191" s="10" t="n">
        <x:v>13.24</x:v>
      </x:c>
      <x:c r="AO191" s="9" t="str">
        <x:v>2026-10-20</x:v>
      </x:c>
      <x:c r="AP191" s="11" t="str">
        <x:f>HYPERLINK("https://www.pricecharting.com/game/cd-i/caesars-world-of-boxing","PriceCharting")</x:f>
        <x:v>PriceCharting</x:v>
      </x:c>
      <x:c r="AQ191" s="9"/>
      <x:c r="AR191" s="9"/>
      <x:c r="AS191" s="9"/>
      <x:c r="AT191" s="9"/>
      <x:c r="AU191" s="9"/>
      <x:c r="AV191" s="9"/>
      <x:c r="AW191" s="9"/>
      <x:c r="AX191" s="9"/>
      <x:c r="AY191" s="9" t="str">
        <x:v>66%</x:v>
      </x:c>
      <x:c r="AZ191" s="9"/>
      <x:c r="BA191" s="11" t="str">
        <x:f>HYPERLINK("https://www.mobygames.com/game/40045/caesars-world-of-boxing/","MobyGames")</x:f>
        <x:v>MobyGames</x:v>
      </x:c>
      <x:c r="BB191" s="9"/>
      <x:c r="BC191" s="9"/>
      <x:c r="BD191" s="9"/>
      <x:c r="BE191" s="9"/>
      <x:c r="BF191" s="11" t="str">
        <x:f>HYPERLINK("https://backloggd.com/search/games/Caesars%20World%20of%20Boxing/","Backloggd")</x:f>
        <x:v>Backloggd</x:v>
      </x:c>
      <x:c r="BG191" s="9"/>
      <x:c r="BH191" s="9"/>
      <x:c r="BI191" s="12" t="str">
        <x:v>No</x:v>
      </x:c>
      <x:c r="BJ191" s="12" t="str"/>
      <x:c r="BK191" s="12" t="str">
        <x:v>No</x:v>
      </x:c>
      <x:c r="BL191" s="12" t="str"/>
      <x:c r="BM191" s="12" t="str"/>
      <x:c r="BN191" s="12" t="str"/>
      <x:c r="BO191" s="12" t="str"/>
      <x:c r="BP191" s="12" t="str"/>
      <x:c r="BQ191" s="12" t="str"/>
    </x:row>
    <x:row r="192">
      <x:c r="A192" s="9" t="str">
        <x:v>cdi-47</x:v>
      </x:c>
      <x:c r="B192" s="9" t="str">
        <x:v>the-palm-springs-open</x:v>
      </x:c>
      <x:c r="C192" s="9" t="str">
        <x:v>Philips CD-i</x:v>
      </x:c>
      <x:c r="D192" s="9" t="str">
        <x:v>The Palm Springs Open</x:v>
      </x:c>
      <x:c r="E192" s="9" t="str">
        <x:v>ABC Sports Presents: The Palm Springs Open</x:v>
      </x:c>
      <x:c r="F192" s="9" t="str">
        <x:v>American Interactive Media, Fathom Pictures</x:v>
      </x:c>
      <x:c r="G192" s="9" t="str">
        <x:v>Philips Interactive Media</x:v>
      </x:c>
      <x:c r="H192" s="9" t="n">
        <x:v>1991</x:v>
      </x:c>
      <x:c r="I192" s="9" t="str">
        <x:v>Yes</x:v>
      </x:c>
      <x:c r="J192" s="9" t="str">
        <x:v>Yes</x:v>
      </x:c>
      <x:c r="K192" s="9" t="str">
        <x:v>Yes</x:v>
      </x:c>
      <x:c r="L192" s="9" t="str">
        <x:v>No</x:v>
      </x:c>
      <x:c r="M192" s="9" t="str">
        <x:v>Golf</x:v>
      </x:c>
      <x:c r="N192" s="9" t="str">
        <x:v>Live-action</x:v>
      </x:c>
      <x:c r="O192" s="9" t="n">
        <x:v>2</x:v>
      </x:c>
      <x:c r="P192" s="9" t="str">
        <x:v>Sports w/ FMV</x:v>
      </x:c>
      <x:c r="Q192" s="9" t="str">
        <x:v>Released</x:v>
      </x:c>
      <x:c r="R192" s="9" t="str">
        <x:v>Original production; ABC Sports licence</x:v>
      </x:c>
      <x:c r="S192" s="9" t="str">
        <x:v>None</x:v>
      </x:c>
      <x:c r="T192" s="9" t="str">
        <x:v>Play-by-play announcers (names not confirmed)</x:v>
      </x:c>
      <x:c r="U192" s="9" t="n">
        <x:v>1</x:v>
      </x:c>
      <x:c r="V192" s="9" t="str">
        <x:v>Unknown — verify</x:v>
      </x:c>
      <x:c r="W192" s="9" t="str">
        <x:v>Standard CD-i controller; Digital Video Cartridge not used</x:v>
      </x:c>
      <x:c r="X192" s="9" t="str">
        <x:v>Low</x:v>
      </x:c>
      <x:c r="Y192" s="9" t="str"/>
      <x:c r="Z192" s="9" t="str">
        <x:v>1–2 hr per round</x:v>
      </x:c>
      <x:c r="AA192" s="9" t="str">
        <x:v>CD-i launch golf with digitised actors pasted onto photos of real Palm Springs holes.</x:v>
      </x:c>
      <x:c r="AB192" s="9" t="str">
        <x:v>None known</x:v>
      </x:c>
      <x:c r="AC192" s="9" t="str">
        <x:v>Digitised live-action golfer animations over photographic course stills; not full-screen video</x:v>
      </x:c>
      <x:c r="AD192" s="9" t="str">
        <x:v>Moderate; swing power meter</x:v>
      </x:c>
      <x:c r="AE192" s="9" t="str">
        <x:v>None; score-based</x:v>
      </x:c>
      <x:c r="AF192" s="9" t="str">
        <x:v>Released 28 Nov 1991 per Giant Bomb, making it an early CD-i launch-window title.</x:v>
      </x:c>
      <x:c r="AG192" s="9" t="str">
        <x:v>US 310690013-2; US pressing for Europe 310699013-2; France 8120002 ('ABC Sports Présente: L'Open de Palm Springs'); Germany 8130001; Netherlands 8140030; Italy 8150020; Japan PCIM-00006 (World of CD-i catalogue).</x:v>
      </x:c>
      <x:c r="AH192" s="9" t="str">
        <x:v>No</x:v>
      </x:c>
      <x:c r="AI192" s="9" t="str">
        <x:v>Easy</x:v>
      </x:c>
      <x:c r="AJ192" s="9"/>
      <x:c r="AK192" s="9" t="str">
        <x:v>Video is digitised-actor animation rather than streamed FMV — fmv 2 is generous (verify). EU release not confirmed.</x:v>
      </x:c>
      <x:c r="AL192" s="10" t="n">
        <x:v>6.58</x:v>
      </x:c>
      <x:c r="AM192" s="10" t="n">
        <x:v>11.62</x:v>
      </x:c>
      <x:c r="AN192" s="10" t="n">
        <x:v>23</x:v>
      </x:c>
      <x:c r="AO192" s="9" t="str">
        <x:v>2026-10-20</x:v>
      </x:c>
      <x:c r="AP192" s="11" t="str">
        <x:f>HYPERLINK("https://www.pricecharting.com/game/cd-i/abc-sports-presents-the-palm-springs-open","PriceCharting")</x:f>
        <x:v>PriceCharting</x:v>
      </x:c>
      <x:c r="AQ192" s="9"/>
      <x:c r="AR192" s="9"/>
      <x:c r="AS192" s="9"/>
      <x:c r="AT192" s="9"/>
      <x:c r="AU192" s="9"/>
      <x:c r="AV192" s="9"/>
      <x:c r="AW192" s="9"/>
      <x:c r="AX192" s="9"/>
      <x:c r="AY192" s="9" t="str">
        <x:v>52%</x:v>
      </x:c>
      <x:c r="AZ192" s="9" t="str">
        <x:v>4.0</x:v>
      </x:c>
      <x:c r="BA192" s="11" t="str">
        <x:f>HYPERLINK("https://www.mobygames.com/game/39573/abc-sports-presents-the-palm-springs-open/","MobyGames")</x:f>
        <x:v>MobyGames</x:v>
      </x:c>
      <x:c r="BB192" s="9"/>
      <x:c r="BC192" s="9"/>
      <x:c r="BD192" s="9"/>
      <x:c r="BE192" s="9"/>
      <x:c r="BF192" s="11" t="str">
        <x:f>HYPERLINK("https://backloggd.com/search/games/The%20Palm%20Springs%20Open/","Backloggd")</x:f>
        <x:v>Backloggd</x:v>
      </x:c>
      <x:c r="BG192" s="9"/>
      <x:c r="BH192" s="9"/>
      <x:c r="BI192" s="12" t="str">
        <x:v>No</x:v>
      </x:c>
      <x:c r="BJ192" s="12" t="str"/>
      <x:c r="BK192" s="12" t="str">
        <x:v>No</x:v>
      </x:c>
      <x:c r="BL192" s="12" t="str"/>
      <x:c r="BM192" s="12" t="str"/>
      <x:c r="BN192" s="12" t="str"/>
      <x:c r="BO192" s="12" t="str"/>
      <x:c r="BP192" s="12" t="str"/>
      <x:c r="BQ192" s="12" t="str"/>
    </x:row>
    <x:row r="193">
      <x:c r="A193" s="9" t="str">
        <x:v>cdi-48</x:v>
      </x:c>
      <x:c r="B193" s="9" t="str">
        <x:v>nfl-instant-replay</x:v>
      </x:c>
      <x:c r="C193" s="9" t="str">
        <x:v>Philips CD-i</x:v>
      </x:c>
      <x:c r="D193" s="9" t="str">
        <x:v>NFL Instant Replay</x:v>
      </x:c>
      <x:c r="E193" s="9" t="str"/>
      <x:c r="F193" s="9" t="str">
        <x:v>Capitol Disc Interactive Corporation (CapDisc)</x:v>
      </x:c>
      <x:c r="G193" s="9" t="str">
        <x:v>Philips Interactive Media</x:v>
      </x:c>
      <x:c r="H193" s="9" t="n">
        <x:v>1994</x:v>
      </x:c>
      <x:c r="I193" s="9" t="str">
        <x:v>Yes</x:v>
      </x:c>
      <x:c r="J193" s="9" t="str">
        <x:v>No</x:v>
      </x:c>
      <x:c r="K193" s="9" t="str">
        <x:v>Yes</x:v>
      </x:c>
      <x:c r="L193" s="9" t="str">
        <x:v>No</x:v>
      </x:c>
      <x:c r="M193" s="9" t="str">
        <x:v>Football trivia (referee calls)</x:v>
      </x:c>
      <x:c r="N193" s="9" t="str">
        <x:v>Live-action</x:v>
      </x:c>
      <x:c r="O193" s="9" t="n">
        <x:v>8</x:v>
      </x:c>
      <x:c r="P193" s="9" t="str">
        <x:v>Game show / trivia</x:v>
      </x:c>
      <x:c r="Q193" s="9" t="str">
        <x:v>Released</x:v>
      </x:c>
      <x:c r="R193" s="9" t="str">
        <x:v>NFL Films footage; NFL licence</x:v>
      </x:c>
      <x:c r="S193" s="9" t="str">
        <x:v>Windows 3.x</x:v>
      </x:c>
      <x:c r="T193" s="9" t="str">
        <x:v>Pat Summerall (narration)</x:v>
      </x:c>
      <x:c r="U193" s="9" t="n">
        <x:v>1</x:v>
      </x:c>
      <x:c r="V193" s="9" t="str">
        <x:v>Unknown — verify</x:v>
      </x:c>
      <x:c r="W193" s="9" t="str">
        <x:v>Digital Video Cartridge required (The World of CD-i); standard CD-i controller. Two-player mode may need a controller splitter depending on the player model.</x:v>
      </x:c>
      <x:c r="X193" s="9" t="str">
        <x:v>HIGH</x:v>
      </x:c>
      <x:c r="Y193" s="9" t="str">
        <x:v>NFL game footage (NFL Films) and NFL broadcast commentary</x:v>
      </x:c>
      <x:c r="Z193" s="9" t="str">
        <x:v>1–2 hr</x:v>
      </x:c>
      <x:c r="AA193" s="9" t="str">
        <x:v>You are the referee: make the call on hundreds of real NFL plays to reach the Super Bowl.</x:v>
      </x:c>
      <x:c r="AB193" s="9" t="str">
        <x:v>None known</x:v>
      </x:c>
      <x:c r="AC193" s="9" t="str">
        <x:v>Full-screen video clips of NFL plays; 100+ (LaunchBox) to 300+ (Video Game Critic) clips</x:v>
      </x:c>
      <x:c r="AD193" s="9" t="str">
        <x:v>Moderate; 4 choices and 20 seconds per call</x:v>
      </x:c>
      <x:c r="AE193" s="9" t="str">
        <x:v>Good run leads to refereeing the Super Bowl</x:v>
      </x:c>
      <x:c r="AF193" s="9" t="str">
        <x:v>Released after the NFL had dropped its 1986–1991 replay system.</x:v>
      </x:c>
      <x:c r="AG193" s="9" t="str">
        <x:v>CD-i (Philips Media of America, 1995) plus a 1995 Windows 3.x version listed on MobyGames. The World of CD-i says the CD-i disc requires the DVC.</x:v>
      </x:c>
      <x:c r="AH193" s="9" t="str">
        <x:v>No</x:v>
      </x:c>
      <x:c r="AI193" s="9" t="str">
        <x:v>Add-on required</x:v>
      </x:c>
      <x:c r="AJ193" s="9"/>
      <x:c r="AK193" s="9" t="str">
        <x:v>Clip count disputed (100+ vs 300+). DVC requirement inferred from full-screen video, not confirmed. Not listed on PriceCharting's CD-i page (2026-10-20).</x:v>
      </x:c>
      <x:c r="AL193" s="10"/>
      <x:c r="AM193" s="10"/>
      <x:c r="AN193" s="10"/>
      <x:c r="AO193" s="9"/>
      <x:c r="AP193" s="11" t="str">
        <x:f>HYPERLINK("https://www.pricecharting.com/search-products?q=NFL+Instant+Replay+cd-i&amp;type=prices","PriceCharting")</x:f>
        <x:v>PriceCharting</x:v>
      </x:c>
      <x:c r="AQ193" s="9"/>
      <x:c r="AR193" s="9"/>
      <x:c r="AS193" s="9"/>
      <x:c r="AT193" s="9"/>
      <x:c r="AU193" s="9"/>
      <x:c r="AV193" s="9"/>
      <x:c r="AW193" s="9"/>
      <x:c r="AX193" s="9"/>
      <x:c r="AY193" s="9"/>
      <x:c r="AZ193" s="9"/>
      <x:c r="BA193" s="11" t="str">
        <x:f>HYPERLINK("https://www.mobygames.com/game/39539/nfl-instant-replay/","MobyGames")</x:f>
        <x:v>MobyGames</x:v>
      </x:c>
      <x:c r="BB193" s="9"/>
      <x:c r="BC193" s="9"/>
      <x:c r="BD193" s="9"/>
      <x:c r="BE193" s="9"/>
      <x:c r="BF193" s="11" t="str">
        <x:f>HYPERLINK("https://backloggd.com/search/games/NFL%20Instant%20Replay/","Backloggd")</x:f>
        <x:v>Backloggd</x:v>
      </x:c>
      <x:c r="BG193" s="9"/>
      <x:c r="BH193" s="9"/>
      <x:c r="BI193" s="12" t="str">
        <x:v>No</x:v>
      </x:c>
      <x:c r="BJ193" s="12" t="str"/>
      <x:c r="BK193" s="12" t="str">
        <x:v>No</x:v>
      </x:c>
      <x:c r="BL193" s="12" t="str"/>
      <x:c r="BM193" s="12" t="str"/>
      <x:c r="BN193" s="12" t="str"/>
      <x:c r="BO193" s="12" t="str"/>
      <x:c r="BP193" s="12" t="str"/>
      <x:c r="BQ193" s="12" t="str"/>
    </x:row>
    <x:row r="194">
      <x:c r="A194" s="9" t="str">
        <x:v>cdi-49</x:v>
      </x:c>
      <x:c r="B194" s="9" t="str">
        <x:v>the-jokers-wild</x:v>
      </x:c>
      <x:c r="C194" s="9" t="str">
        <x:v>Philips CD-i</x:v>
      </x:c>
      <x:c r="D194" s="9" t="str">
        <x:v>The Joker's Wild!</x:v>
      </x:c>
      <x:c r="E194" s="9" t="str">
        <x:v>The Joker's Wild</x:v>
      </x:c>
      <x:c r="F194" s="9" t="str">
        <x:v>Accent Media Productions</x:v>
      </x:c>
      <x:c r="G194" s="9" t="str">
        <x:v>Philips Interactive Media</x:v>
      </x:c>
      <x:c r="H194" s="9" t="n">
        <x:v>1994</x:v>
      </x:c>
      <x:c r="I194" s="9" t="str">
        <x:v>Yes</x:v>
      </x:c>
      <x:c r="J194" s="9" t="str">
        <x:v>No</x:v>
      </x:c>
      <x:c r="K194" s="9" t="str">
        <x:v>No</x:v>
      </x:c>
      <x:c r="L194" s="9" t="str">
        <x:v>No</x:v>
      </x:c>
      <x:c r="M194" s="9" t="str">
        <x:v>Game show / trivia</x:v>
      </x:c>
      <x:c r="N194" s="9" t="str">
        <x:v>Live-action</x:v>
      </x:c>
      <x:c r="O194" s="9" t="n">
        <x:v>5</x:v>
      </x:c>
      <x:c r="P194" s="9" t="str">
        <x:v>Game show / trivia</x:v>
      </x:c>
      <x:c r="Q194" s="9" t="str">
        <x:v>Released</x:v>
      </x:c>
      <x:c r="R194" s="9" t="str">
        <x:v>TV game show license (The Joker's Wild, Jack Barry/Dan Enright format)</x:v>
      </x:c>
      <x:c r="S194" s="9" t="str">
        <x:v>None (CD-i exclusive)</x:v>
      </x:c>
      <x:c r="T194" s="9" t="str">
        <x:v>Wink Martindale (FMV host); Charlie O'Donnell (announcer)</x:v>
      </x:c>
      <x:c r="U194" s="9" t="n">
        <x:v>1</x:v>
      </x:c>
      <x:c r="V194" s="9" t="str">
        <x:v>No</x:v>
      </x:c>
      <x:c r="W194" s="9" t="str">
        <x:v>CD-i remote listed (The World of CD-i), gamepad also works; 1–4 players. Digital Video Cartridge not used (The World of CD-i).</x:v>
      </x:c>
      <x:c r="X194" s="9" t="str">
        <x:v>Low–Med</x:v>
      </x:c>
      <x:c r="Y194" s="9" t="str">
        <x:v>Show theme/music cues and TV-format branding (verify)</x:v>
      </x:c>
      <x:c r="Z194" s="9" t="str">
        <x:v>20–40 min per game</x:v>
      </x:c>
      <x:c r="AA194" s="9" t="str">
        <x:v>Wink Martindale hosts a living-room Joker's Wild in full-motion video, slot-machine category reels and all.</x:v>
      </x:c>
      <x:c r="AB194" s="9" t="str">
        <x:v>None known</x:v>
      </x:c>
      <x:c r="AC194" s="9" t="str">
        <x:v>Live-action host clips in a window over graphic set; base CD-i video, not MPEG (verify)</x:v>
      </x:c>
      <x:c r="AD194" s="9" t="str">
        <x:v>Easy–moderate; general trivia, multiplayer-friendly</x:v>
      </x:c>
      <x:c r="AE194" s="9" t="str">
        <x:v>None; score-based, three rounds</x:v>
      </x:c>
      <x:c r="AF194" s="9" t="str">
        <x:v>Never released on any other format. Accent Media produced the whole CD-i game-show run (Joker's Wild, Joker's Wild Jr., Jeopardy!).</x:v>
      </x:c>
      <x:c r="AG194" s="9" t="str">
        <x:v>US only (The World of CD-i).</x:v>
      </x:c>
      <x:c r="AH194" s="9" t="str">
        <x:v>No</x:v>
      </x:c>
      <x:c r="AI194" s="9" t="str">
        <x:v>Easy</x:v>
      </x:c>
      <x:c r="AJ194" s="9"/>
      <x:c r="AK194" s="9" t="str">
        <x:v>Year 1994 per Giant Bomb/eBay listings; some lists give 1993 (verify). Host video is the main FMV; question screens are graphics.</x:v>
      </x:c>
      <x:c r="AL194" s="10" t="n">
        <x:v>6.67</x:v>
      </x:c>
      <x:c r="AM194" s="10" t="n">
        <x:v>15</x:v>
      </x:c>
      <x:c r="AN194" s="10" t="n">
        <x:v>30</x:v>
      </x:c>
      <x:c r="AO194" s="9" t="str">
        <x:v>2026-10-20</x:v>
      </x:c>
      <x:c r="AP194" s="11" t="str">
        <x:f>HYPERLINK("https://www.pricecharting.com/game/cd-i/the-joker%27s-wild","PriceCharting")</x:f>
        <x:v>PriceCharting</x:v>
      </x:c>
      <x:c r="AQ194" s="9"/>
      <x:c r="AR194" s="9"/>
      <x:c r="AS194" s="9"/>
      <x:c r="AT194" s="9"/>
      <x:c r="AU194" s="9"/>
      <x:c r="AV194" s="9"/>
      <x:c r="AW194" s="9"/>
      <x:c r="AX194" s="9"/>
      <x:c r="AY194" s="9" t="str">
        <x:v>66%</x:v>
      </x:c>
      <x:c r="AZ194" s="9"/>
      <x:c r="BA194" s="11" t="str">
        <x:f>HYPERLINK("https://www.mobygames.com/game/40514/the-jokers-wild/","MobyGames")</x:f>
        <x:v>MobyGames</x:v>
      </x:c>
      <x:c r="BB194" s="9"/>
      <x:c r="BC194" s="9"/>
      <x:c r="BD194" s="9"/>
      <x:c r="BE194" s="9"/>
      <x:c r="BF194" s="11" t="str">
        <x:f>HYPERLINK("https://backloggd.com/search/games/The%20Joker%27s%20Wild%21/","Backloggd")</x:f>
        <x:v>Backloggd</x:v>
      </x:c>
      <x:c r="BG194" s="9"/>
      <x:c r="BH194" s="9"/>
      <x:c r="BI194" s="12" t="str">
        <x:v>No</x:v>
      </x:c>
      <x:c r="BJ194" s="12" t="str"/>
      <x:c r="BK194" s="12" t="str">
        <x:v>No</x:v>
      </x:c>
      <x:c r="BL194" s="12" t="str"/>
      <x:c r="BM194" s="12" t="str"/>
      <x:c r="BN194" s="12" t="str"/>
      <x:c r="BO194" s="12" t="str"/>
      <x:c r="BP194" s="12" t="str"/>
      <x:c r="BQ194" s="12" t="str"/>
    </x:row>
    <x:row r="195">
      <x:c r="A195" s="9" t="str">
        <x:v>cdi-50</x:v>
      </x:c>
      <x:c r="B195" s="9" t="str">
        <x:v>the-jokers-wild-jr</x:v>
      </x:c>
      <x:c r="C195" s="9" t="str">
        <x:v>Philips CD-i</x:v>
      </x:c>
      <x:c r="D195" s="9" t="str">
        <x:v>The Joker's Wild Jr.</x:v>
      </x:c>
      <x:c r="E195" s="9" t="str"/>
      <x:c r="F195" s="9" t="str">
        <x:v>Accent Media Productions</x:v>
      </x:c>
      <x:c r="G195" s="9" t="str">
        <x:v>Philips Interactive Media</x:v>
      </x:c>
      <x:c r="H195" s="9" t="n">
        <x:v>1994</x:v>
      </x:c>
      <x:c r="I195" s="9" t="str">
        <x:v>Yes</x:v>
      </x:c>
      <x:c r="J195" s="9" t="str">
        <x:v>No</x:v>
      </x:c>
      <x:c r="K195" s="9" t="str">
        <x:v>No</x:v>
      </x:c>
      <x:c r="L195" s="9" t="str">
        <x:v>No</x:v>
      </x:c>
      <x:c r="M195" s="9" t="str">
        <x:v>Game show / trivia (kids)</x:v>
      </x:c>
      <x:c r="N195" s="9" t="str">
        <x:v>Live-action</x:v>
      </x:c>
      <x:c r="O195" s="9" t="n">
        <x:v>5</x:v>
      </x:c>
      <x:c r="P195" s="9" t="str">
        <x:v>Game show / trivia</x:v>
      </x:c>
      <x:c r="Q195" s="9" t="str">
        <x:v>Released</x:v>
      </x:c>
      <x:c r="R195" s="9" t="str">
        <x:v>Kids spin-off of the TV game show The Joker's Wild</x:v>
      </x:c>
      <x:c r="S195" s="9" t="str">
        <x:v>None (CD-i exclusive)</x:v>
      </x:c>
      <x:c r="T195" s="9" t="str">
        <x:v>Marc Summers (FMV host)</x:v>
      </x:c>
      <x:c r="U195" s="9" t="n">
        <x:v>1</x:v>
      </x:c>
      <x:c r="V195" s="9" t="str">
        <x:v>No</x:v>
      </x:c>
      <x:c r="W195" s="9" t="str">
        <x:v>CD-i remote listed (The World of CD-i), gamepad also works; 1–4 players. Digital Video Cartridge not used (The World of CD-i).</x:v>
      </x:c>
      <x:c r="X195" s="9" t="str">
        <x:v>Low–Med</x:v>
      </x:c>
      <x:c r="Y195" s="9" t="str">
        <x:v>Show theme/music cues (verify)</x:v>
      </x:c>
      <x:c r="Z195" s="9" t="str">
        <x:v>20–40 min per game</x:v>
      </x:c>
      <x:c r="AA195" s="9" t="str">
        <x:v>Double Dare's Marc Summers hosts a kid-friendly Joker's Wild — a CD-i game show nobody remembers exists.</x:v>
      </x:c>
      <x:c r="AB195" s="9" t="str">
        <x:v>None known</x:v>
      </x:c>
      <x:c r="AC195" s="9" t="str">
        <x:v>Live-action host clips over graphic set; base CD-i video (verify)</x:v>
      </x:c>
      <x:c r="AD195" s="9" t="str">
        <x:v>Easy; categories pitched at children</x:v>
      </x:c>
      <x:c r="AE195" s="9" t="str">
        <x:v>None; score-based</x:v>
      </x:c>
      <x:c r="AF195" s="9" t="str">
        <x:v>Swaps Wink Martindale for Nickelodeon's Marc Summers; same Accent Media engine as the adult version.</x:v>
      </x:c>
      <x:c r="AG195" s="9" t="str">
        <x:v>US only (The World of CD-i).</x:v>
      </x:c>
      <x:c r="AH195" s="9" t="str">
        <x:v>No</x:v>
      </x:c>
      <x:c r="AI195" s="9" t="str">
        <x:v>Easy</x:v>
      </x:c>
      <x:c r="AJ195" s="9"/>
      <x:c r="AK195" s="9" t="str">
        <x:v>Easier categories than the adult disc per Giant Bomb.</x:v>
      </x:c>
      <x:c r="AL195" s="10" t="n">
        <x:v>6.8</x:v>
      </x:c>
      <x:c r="AM195" s="10" t="n">
        <x:v>12</x:v>
      </x:c>
      <x:c r="AN195" s="10" t="n">
        <x:v>24</x:v>
      </x:c>
      <x:c r="AO195" s="9" t="str">
        <x:v>2026-10-20</x:v>
      </x:c>
      <x:c r="AP195" s="11" t="str">
        <x:f>HYPERLINK("https://www.pricecharting.com/game/cd-i/the-joker%27s-wild-jr","PriceCharting")</x:f>
        <x:v>PriceCharting</x:v>
      </x:c>
      <x:c r="AQ195" s="9"/>
      <x:c r="AR195" s="9"/>
      <x:c r="AS195" s="9"/>
      <x:c r="AT195" s="9"/>
      <x:c r="AU195" s="9"/>
      <x:c r="AV195" s="9"/>
      <x:c r="AW195" s="9"/>
      <x:c r="AX195" s="9"/>
      <x:c r="AY195" s="9"/>
      <x:c r="AZ195" s="9"/>
      <x:c r="BA195" s="11" t="str">
        <x:f>HYPERLINK("https://www.mobygames.com/game/40516/the-jokers-wild-jr/","MobyGames")</x:f>
        <x:v>MobyGames</x:v>
      </x:c>
      <x:c r="BB195" s="9"/>
      <x:c r="BC195" s="9"/>
      <x:c r="BD195" s="9"/>
      <x:c r="BE195" s="9"/>
      <x:c r="BF195" s="11" t="str">
        <x:f>HYPERLINK("https://backloggd.com/search/games/The%20Joker%27s%20Wild%20Jr./","Backloggd")</x:f>
        <x:v>Backloggd</x:v>
      </x:c>
      <x:c r="BG195" s="9"/>
      <x:c r="BH195" s="9"/>
      <x:c r="BI195" s="12" t="str">
        <x:v>No</x:v>
      </x:c>
      <x:c r="BJ195" s="12" t="str"/>
      <x:c r="BK195" s="12" t="str">
        <x:v>No</x:v>
      </x:c>
      <x:c r="BL195" s="12" t="str"/>
      <x:c r="BM195" s="12" t="str"/>
      <x:c r="BN195" s="12" t="str"/>
      <x:c r="BO195" s="12" t="str"/>
      <x:c r="BP195" s="12" t="str"/>
      <x:c r="BQ195" s="12" t="str"/>
    </x:row>
    <x:row r="196">
      <x:c r="A196" s="9" t="str">
        <x:v>cdi-51</x:v>
      </x:c>
      <x:c r="B196" s="9" t="str">
        <x:v>name-that-tune</x:v>
      </x:c>
      <x:c r="C196" s="9" t="str">
        <x:v>Philips CD-i</x:v>
      </x:c>
      <x:c r="D196" s="9" t="str">
        <x:v>Name That Tune</x:v>
      </x:c>
      <x:c r="E196" s="9" t="str"/>
      <x:c r="F196" s="9" t="str">
        <x:v>Philips Fantasy Factory (The World of CD-i)</x:v>
      </x:c>
      <x:c r="G196" s="9" t="str">
        <x:v>Philips Interactive Media</x:v>
      </x:c>
      <x:c r="H196" s="9" t="n">
        <x:v>1993</x:v>
      </x:c>
      <x:c r="I196" s="9" t="str">
        <x:v>Yes</x:v>
      </x:c>
      <x:c r="J196" s="9" t="str">
        <x:v>No</x:v>
      </x:c>
      <x:c r="K196" s="9" t="str">
        <x:v>No</x:v>
      </x:c>
      <x:c r="L196" s="9" t="str">
        <x:v>No</x:v>
      </x:c>
      <x:c r="M196" s="9" t="str">
        <x:v>Game show / music quiz</x:v>
      </x:c>
      <x:c r="N196" s="9" t="str">
        <x:v>Live-action</x:v>
      </x:c>
      <x:c r="O196" s="9" t="n">
        <x:v>4</x:v>
      </x:c>
      <x:c r="P196" s="9" t="str">
        <x:v>Game show / trivia</x:v>
      </x:c>
      <x:c r="Q196" s="9" t="str">
        <x:v>Released</x:v>
      </x:c>
      <x:c r="R196" s="9" t="str">
        <x:v>TV game show license (Name That Tune; based on the 1990 unaired pilot format per Game Show Forum)</x:v>
      </x:c>
      <x:c r="S196" s="9" t="str">
        <x:v>None (CD-i exclusive)</x:v>
      </x:c>
      <x:c r="T196" s="9" t="str">
        <x:v>Bob Goen (host)</x:v>
      </x:c>
      <x:c r="U196" s="9" t="n">
        <x:v>1</x:v>
      </x:c>
      <x:c r="V196" s="9" t="str">
        <x:v>No</x:v>
      </x:c>
      <x:c r="W196" s="9" t="str">
        <x:v>CD-i remote listed (The World of CD-i); multiplayer. Digital Video Cartridge not used (The World of CD-i).</x:v>
      </x:c>
      <x:c r="X196" s="9" t="str">
        <x:v>HIGH</x:v>
      </x:c>
      <x:c r="Y196" s="9" t="str">
        <x:v>About 600 song clips from the '50s–'90s; whether originals or sound-alike re-recordings is unconfirmed (verify)</x:v>
      </x:c>
      <x:c r="Z196" s="9" t="str">
        <x:v>20–40 min per game</x:v>
      </x:c>
      <x:c r="AA196" s="9" t="str">
        <x:v>Bob Goen asks you to name 600 songs — and then trusts you to tell the CD-i whether you got it right.</x:v>
      </x:c>
      <x:c r="AB196" s="9" t="str">
        <x:v>None known</x:v>
      </x:c>
      <x:c r="AC196" s="9" t="str">
        <x:v>Host video clips; base CD-i video (verify)</x:v>
      </x:c>
      <x:c r="AD196" s="9" t="str">
        <x:v>Depends on music knowledge; honor-system judging</x:v>
      </x:c>
      <x:c r="AE196" s="9" t="str">
        <x:v>None; score-based</x:v>
      </x:c>
      <x:c r="AF196" s="9" t="str">
        <x:v>Answers are judged on the honor system: players say the title aloud and tell the machine if they were right. Video Game Critic graded it D-.</x:v>
      </x:c>
      <x:c r="AG196" s="9" t="str">
        <x:v>US only (The World of CD-i).</x:v>
      </x:c>
      <x:c r="AH196" s="9" t="str">
        <x:v>No</x:v>
      </x:c>
      <x:c r="AI196" s="9" t="str">
        <x:v>Easy</x:v>
      </x:c>
      <x:c r="AJ196" s="9"/>
      <x:c r="AK196" s="9" t="str">
        <x:v>Developer not confirmed (verify). 160 categories, ~600 songs per romsfun listing (verify). Lost Media Wiki dates it 1994; most listings 1993. Expect music Content ID claims.</x:v>
      </x:c>
      <x:c r="AL196" s="10" t="n">
        <x:v>6.82</x:v>
      </x:c>
      <x:c r="AM196" s="10" t="n">
        <x:v>15</x:v>
      </x:c>
      <x:c r="AN196" s="10" t="n">
        <x:v>20.68</x:v>
      </x:c>
      <x:c r="AO196" s="9" t="str">
        <x:v>2026-10-20</x:v>
      </x:c>
      <x:c r="AP196" s="11" t="str">
        <x:f>HYPERLINK("https://www.pricecharting.com/game/cd-i/name-that-tune","PriceCharting")</x:f>
        <x:v>PriceCharting</x:v>
      </x:c>
      <x:c r="AQ196" s="9"/>
      <x:c r="AR196" s="9"/>
      <x:c r="AS196" s="9"/>
      <x:c r="AT196" s="9"/>
      <x:c r="AU196" s="9"/>
      <x:c r="AV196" s="9"/>
      <x:c r="AW196" s="9"/>
      <x:c r="AX196" s="9"/>
      <x:c r="AY196" s="9" t="str">
        <x:v>42%</x:v>
      </x:c>
      <x:c r="AZ196" s="9" t="str">
        <x:v>1.7</x:v>
      </x:c>
      <x:c r="BA196" s="11" t="str">
        <x:f>HYPERLINK("https://www.mobygames.com/game/41411/name-that-tune/","MobyGames")</x:f>
        <x:v>MobyGames</x:v>
      </x:c>
      <x:c r="BB196" s="9"/>
      <x:c r="BC196" s="9"/>
      <x:c r="BD196" s="9"/>
      <x:c r="BE196" s="9"/>
      <x:c r="BF196" s="11" t="str">
        <x:f>HYPERLINK("https://backloggd.com/search/games/Name%20That%20Tune/","Backloggd")</x:f>
        <x:v>Backloggd</x:v>
      </x:c>
      <x:c r="BG196" s="9"/>
      <x:c r="BH196" s="9"/>
      <x:c r="BI196" s="12" t="str">
        <x:v>No</x:v>
      </x:c>
      <x:c r="BJ196" s="12" t="str"/>
      <x:c r="BK196" s="12" t="str">
        <x:v>No</x:v>
      </x:c>
      <x:c r="BL196" s="12" t="str"/>
      <x:c r="BM196" s="12" t="str"/>
      <x:c r="BN196" s="12" t="str"/>
      <x:c r="BO196" s="12" t="str"/>
      <x:c r="BP196" s="12" t="str"/>
      <x:c r="BQ196" s="12" t="str"/>
    </x:row>
    <x:row r="197">
      <x:c r="A197" s="9" t="str">
        <x:v>cdi-52</x:v>
      </x:c>
      <x:c r="B197" s="9" t="str">
        <x:v>jeopardy-cdi</x:v>
      </x:c>
      <x:c r="C197" s="9" t="str">
        <x:v>Philips CD-i</x:v>
      </x:c>
      <x:c r="D197" s="9" t="str">
        <x:v>Jeopardy!</x:v>
      </x:c>
      <x:c r="E197" s="9" t="str">
        <x:v>Jeopardy</x:v>
      </x:c>
      <x:c r="F197" s="9" t="str">
        <x:v>Accent Media Productions</x:v>
      </x:c>
      <x:c r="G197" s="9" t="str">
        <x:v>Philips Interactive Media</x:v>
      </x:c>
      <x:c r="H197" s="9" t="n">
        <x:v>1995</x:v>
      </x:c>
      <x:c r="I197" s="9" t="str">
        <x:v>Yes</x:v>
      </x:c>
      <x:c r="J197" s="9" t="str">
        <x:v>No</x:v>
      </x:c>
      <x:c r="K197" s="9" t="str">
        <x:v>No</x:v>
      </x:c>
      <x:c r="L197" s="9" t="str">
        <x:v>No</x:v>
      </x:c>
      <x:c r="M197" s="9" t="str">
        <x:v>Game show / trivia</x:v>
      </x:c>
      <x:c r="N197" s="9" t="str">
        <x:v>Live-action</x:v>
      </x:c>
      <x:c r="O197" s="9" t="n">
        <x:v>5</x:v>
      </x:c>
      <x:c r="P197" s="9" t="str">
        <x:v>Game show / trivia</x:v>
      </x:c>
      <x:c r="Q197" s="9" t="str">
        <x:v>Released</x:v>
      </x:c>
      <x:c r="R197" s="9" t="str">
        <x:v>TV game show license (Jeopardy!)</x:v>
      </x:c>
      <x:c r="S197" s="9" t="str">
        <x:v>Other Jeopardy! games exist (Sega CD, PC, NES/SNES etc.), but this CD-i version is its own production</x:v>
      </x:c>
      <x:c r="T197" s="9" t="str">
        <x:v>Alex Trebek (FMV host)</x:v>
      </x:c>
      <x:c r="U197" s="9" t="n">
        <x:v>1</x:v>
      </x:c>
      <x:c r="V197" s="9" t="str">
        <x:v>No</x:v>
      </x:c>
      <x:c r="W197" s="9" t="str">
        <x:v>CD-i remote listed (The World of CD-i); answers typed via on-screen keyboard with suggestions. Digital Video Cartridge not used (The World of CD-i).</x:v>
      </x:c>
      <x:c r="X197" s="9" t="str">
        <x:v>Med</x:v>
      </x:c>
      <x:c r="Y197" s="9" t="str">
        <x:v>Jeopardy! 'Think!' music and theme on a digital track</x:v>
      </x:c>
      <x:c r="Z197" s="9" t="str">
        <x:v>20–30 min per game</x:v>
      </x:c>
      <x:c r="AA197" s="9" t="str">
        <x:v>Alex Trebek in full-motion video on a Philips CD-i, three years after the Sega CD beat it to the punch.</x:v>
      </x:c>
      <x:c r="AB197" s="9" t="str">
        <x:v>None known</x:v>
      </x:c>
      <x:c r="AC197" s="9" t="str">
        <x:v>FMV 'sprites' of Trebek and contestants over a graphic board; base CD-i video (verify)</x:v>
      </x:c>
      <x:c r="AD197" s="9" t="str">
        <x:v>Moderate; typed answers</x:v>
      </x:c>
      <x:c r="AE197" s="9" t="str">
        <x:v>None; Jeopardy, Double Jeopardy, Final Jeopardy</x:v>
      </x:c>
      <x:c r="AF197" s="9" t="str">
        <x:v>Opens with an FMV of Alex Trebek explaining the rules. Last of Accent Media's CD-i game shows.</x:v>
      </x:c>
      <x:c r="AG197" s="9" t="str">
        <x:v>US release, catalogue 310690263-2 per The World of CD-i</x:v>
      </x:c>
      <x:c r="AH197" s="9" t="str">
        <x:v>No</x:v>
      </x:c>
      <x:c r="AI197" s="9" t="str">
        <x:v>Easy</x:v>
      </x:c>
      <x:c r="AJ197" s="9"/>
      <x:c r="AK197" s="9" t="str">
        <x:v>Year 1995 per Giant Bomb/World of CD-i; some listings say 1994 (verify).</x:v>
      </x:c>
      <x:c r="AL197" s="10" t="n">
        <x:v>9.1</x:v>
      </x:c>
      <x:c r="AM197" s="10" t="n">
        <x:v>19.91</x:v>
      </x:c>
      <x:c r="AN197" s="10" t="n">
        <x:v>19.35</x:v>
      </x:c>
      <x:c r="AO197" s="9" t="str">
        <x:v>2026-10-20</x:v>
      </x:c>
      <x:c r="AP197" s="11" t="str">
        <x:f>HYPERLINK("https://www.pricecharting.com/game/cd-i/jeopardy","PriceCharting")</x:f>
        <x:v>PriceCharting</x:v>
      </x:c>
      <x:c r="AQ197" s="9"/>
      <x:c r="AR197" s="9"/>
      <x:c r="AS197" s="9"/>
      <x:c r="AT197" s="9"/>
      <x:c r="AU197" s="9"/>
      <x:c r="AV197" s="9"/>
      <x:c r="AW197" s="9"/>
      <x:c r="AX197" s="9"/>
      <x:c r="AY197" s="9"/>
      <x:c r="AZ197" s="9"/>
      <x:c r="BA197" s="11" t="str">
        <x:f>HYPERLINK("https://www.mobygames.com/game/203661/jeopardy/","MobyGames")</x:f>
        <x:v>MobyGames</x:v>
      </x:c>
      <x:c r="BB197" s="9"/>
      <x:c r="BC197" s="9"/>
      <x:c r="BD197" s="9"/>
      <x:c r="BE197" s="9"/>
      <x:c r="BF197" s="11" t="str">
        <x:f>HYPERLINK("https://backloggd.com/search/games/Jeopardy%21/","Backloggd")</x:f>
        <x:v>Backloggd</x:v>
      </x:c>
      <x:c r="BG197" s="9"/>
      <x:c r="BH197" s="9"/>
      <x:c r="BI197" s="12" t="str">
        <x:v>No</x:v>
      </x:c>
      <x:c r="BJ197" s="12" t="str"/>
      <x:c r="BK197" s="12" t="str">
        <x:v>No</x:v>
      </x:c>
      <x:c r="BL197" s="12" t="str"/>
      <x:c r="BM197" s="12" t="str"/>
      <x:c r="BN197" s="12" t="str"/>
      <x:c r="BO197" s="12" t="str"/>
      <x:c r="BP197" s="12" t="str"/>
      <x:c r="BQ197" s="12" t="str"/>
    </x:row>
    <x:row r="198">
      <x:c r="A198" s="9" t="str">
        <x:v>cdi-53</x:v>
      </x:c>
      <x:c r="B198" s="9" t="str">
        <x:v>cluedo</x:v>
      </x:c>
      <x:c r="C198" s="9" t="str">
        <x:v>Philips CD-i</x:v>
      </x:c>
      <x:c r="D198" s="9" t="str">
        <x:v>Cluedo</x:v>
      </x:c>
      <x:c r="E198" s="9" t="str">
        <x:v>Clue (US)</x:v>
      </x:c>
      <x:c r="F198" s="9" t="str">
        <x:v>3T Productions</x:v>
      </x:c>
      <x:c r="G198" s="9" t="str">
        <x:v>Philips Interactive Media</x:v>
      </x:c>
      <x:c r="H198" s="9" t="n">
        <x:v>1994</x:v>
      </x:c>
      <x:c r="I198" s="9" t="str">
        <x:v>Yes</x:v>
      </x:c>
      <x:c r="J198" s="9" t="str">
        <x:v>No</x:v>
      </x:c>
      <x:c r="K198" s="9" t="str">
        <x:v>Yes</x:v>
      </x:c>
      <x:c r="L198" s="9" t="str">
        <x:v>No</x:v>
      </x:c>
      <x:c r="M198" s="9" t="str">
        <x:v>Murder-mystery deduction</x:v>
      </x:c>
      <x:c r="N198" s="9" t="str">
        <x:v>Live-action</x:v>
      </x:c>
      <x:c r="O198" s="9" t="n">
        <x:v>8</x:v>
      </x:c>
      <x:c r="P198" s="9" t="str">
        <x:v>Interactive movie</x:v>
      </x:c>
      <x:c r="Q198" s="9" t="str">
        <x:v>Released</x:v>
      </x:c>
      <x:c r="R198" s="9" t="str">
        <x:v>Board game license (Waddingtons/Parker Cluedo)</x:v>
      </x:c>
      <x:c r="S198" s="9" t="str">
        <x:v>None</x:v>
      </x:c>
      <x:c r="T198" s="9" t="str">
        <x:v>Joan Sims (Mrs. White), Susan Wooldridge (Mrs. Peacock), David Healy (Professor Plum), Stuart Milligan (Mr. Green); others verify</x:v>
      </x:c>
      <x:c r="U198" s="9" t="n">
        <x:v>1</x:v>
      </x:c>
      <x:c r="V198" s="9" t="str">
        <x:v>Unknown — verify</x:v>
      </x:c>
      <x:c r="W198" s="9" t="str">
        <x:v>Digital Video Cartridge REQUIRED; CD-i remote/gamepad; multiplayer</x:v>
      </x:c>
      <x:c r="X198" s="9" t="str">
        <x:v>Low</x:v>
      </x:c>
      <x:c r="Y198" s="9" t="str"/>
      <x:c r="Z198" s="9" t="str">
        <x:v>15–30 min per case; 12 scenarios</x:v>
      </x:c>
      <x:c r="AA198" s="9" t="str">
        <x:v>Carry On's Joan Sims returns as Mrs. White in a full-screen MPEG Cluedo — three murders, four solutions each.</x:v>
      </x:c>
      <x:c r="AB198" s="9" t="str">
        <x:v>None known</x:v>
      </x:c>
      <x:c r="AC198" s="9" t="str">
        <x:v>Full-screen MPEG-1 live-action via DVC</x:v>
      </x:c>
      <x:c r="AD198" s="9" t="str">
        <x:v>Moderate deduction</x:v>
      </x:c>
      <x:c r="AE198" s="9" t="str">
        <x:v>Three cases (The Hooded Madonna, Happy Ever After, Deadly Patent), each with four outcomes = 12 scenarios</x:v>
      </x:c>
      <x:c r="AF198" s="9" t="str">
        <x:v>Joan Sims reprised Mrs. White from the 1990 Christmas special of the British Cluedo TV game show. Followed by Cluedo: The Mysteries Continue (1995).</x:v>
      </x:c>
      <x:c r="AG198" s="9" t="str">
        <x:v>Worldwide 'Cluedo' and US 'Clue' releases (The World of CD-i)</x:v>
      </x:c>
      <x:c r="AH198" s="9" t="str">
        <x:v>No</x:v>
      </x:c>
      <x:c r="AI198" s="9" t="str">
        <x:v>Add-on required</x:v>
      </x:c>
      <x:c r="AJ198" s="9"/>
      <x:c r="AK198" s="9" t="str">
        <x:v>Separate from Clue: The Mysteries Continue (researched elsewhere). Cast per fmvworld/Wikipedia; remaining suspects unverified. Sold as 'Clue' in North America; price is PriceCharting's 'Clue' CD-i listing.</x:v>
      </x:c>
      <x:c r="AL198" s="10" t="n">
        <x:v>13.5</x:v>
      </x:c>
      <x:c r="AM198" s="10" t="n">
        <x:v>23.61</x:v>
      </x:c>
      <x:c r="AN198" s="10" t="n">
        <x:v>30.85</x:v>
      </x:c>
      <x:c r="AO198" s="9" t="str">
        <x:v>2026-10-20</x:v>
      </x:c>
      <x:c r="AP198" s="11" t="str">
        <x:f>HYPERLINK("https://www.pricecharting.com/game/cd-i/clue","PriceCharting")</x:f>
        <x:v>PriceCharting</x:v>
      </x:c>
      <x:c r="AQ198" s="9"/>
      <x:c r="AR198" s="9"/>
      <x:c r="AS198" s="9"/>
      <x:c r="AT198" s="9"/>
      <x:c r="AU198" s="9"/>
      <x:c r="AV198" s="9"/>
      <x:c r="AW198" s="9"/>
      <x:c r="AX198" s="9"/>
      <x:c r="AY198" s="9"/>
      <x:c r="AZ198" s="9"/>
      <x:c r="BA198" s="11" t="str">
        <x:f>HYPERLINK("https://www.mobygames.com/game/27048/clue/","MobyGames")</x:f>
        <x:v>MobyGames</x:v>
      </x:c>
      <x:c r="BB198" s="9"/>
      <x:c r="BC198" s="9"/>
      <x:c r="BD198" s="9"/>
      <x:c r="BE198" s="11" t="str">
        <x:f>HYPERLINK("https://en.wikipedia.org/wiki/Cluedo_(CD-i_video_game)","Wikipedia")</x:f>
        <x:v>Wikipedia</x:v>
      </x:c>
      <x:c r="BF198" s="11" t="str">
        <x:f>HYPERLINK("https://backloggd.com/search/games/Cluedo/","Backloggd")</x:f>
        <x:v>Backloggd</x:v>
      </x:c>
      <x:c r="BG198" s="9"/>
      <x:c r="BH198" s="9"/>
      <x:c r="BI198" s="12" t="str">
        <x:v>No</x:v>
      </x:c>
      <x:c r="BJ198" s="12" t="str"/>
      <x:c r="BK198" s="12" t="str">
        <x:v>No</x:v>
      </x:c>
      <x:c r="BL198" s="12" t="str"/>
      <x:c r="BM198" s="12" t="str"/>
      <x:c r="BN198" s="12" t="str"/>
      <x:c r="BO198" s="12" t="str"/>
      <x:c r="BP198" s="12" t="str"/>
      <x:c r="BQ198" s="12" t="str"/>
    </x:row>
    <x:row r="199">
      <x:c r="A199" s="9" t="str">
        <x:v>cdi-54</x:v>
      </x:c>
      <x:c r="B199" s="9" t="str">
        <x:v>girls-club</x:v>
      </x:c>
      <x:c r="C199" s="9" t="str">
        <x:v>Philips CD-i</x:v>
      </x:c>
      <x:c r="D199" s="9" t="str">
        <x:v>Girl's Club</x:v>
      </x:c>
      <x:c r="E199" s="9" t="str">
        <x:v>Girls Club</x:v>
      </x:c>
      <x:c r="F199" s="9" t="str">
        <x:v>Philips POV Entertainment Group</x:v>
      </x:c>
      <x:c r="G199" s="9" t="str">
        <x:v>Philips Interactive Media of America</x:v>
      </x:c>
      <x:c r="H199" s="9" t="n">
        <x:v>1992</x:v>
      </x:c>
      <x:c r="I199" s="9" t="str">
        <x:v>Yes</x:v>
      </x:c>
      <x:c r="J199" s="9" t="str">
        <x:v>No</x:v>
      </x:c>
      <x:c r="K199" s="9" t="str">
        <x:v>Yes</x:v>
      </x:c>
      <x:c r="L199" s="9" t="str">
        <x:v>No</x:v>
      </x:c>
      <x:c r="M199" s="9" t="str">
        <x:v>Party game / dating</x:v>
      </x:c>
      <x:c r="N199" s="9" t="str">
        <x:v>Live-action</x:v>
      </x:c>
      <x:c r="O199" s="9" t="n">
        <x:v>7</x:v>
      </x:c>
      <x:c r="P199" s="9" t="str">
        <x:v>Interactive movie</x:v>
      </x:c>
      <x:c r="Q199" s="9" t="str">
        <x:v>Released</x:v>
      </x:c>
      <x:c r="R199" s="9" t="str">
        <x:v>Original production</x:v>
      </x:c>
      <x:c r="S199" s="9" t="str">
        <x:v>None</x:v>
      </x:c>
      <x:c r="T199" s="9" t="str">
        <x:v>Heidi Lucas (host; Dina in Salute Your Shorts); boys' cast unknown</x:v>
      </x:c>
      <x:c r="U199" s="9" t="n">
        <x:v>1</x:v>
      </x:c>
      <x:c r="V199" s="9" t="str">
        <x:v>No</x:v>
      </x:c>
      <x:c r="W199" s="9" t="str">
        <x:v>CD-i remote/gamepad; 1–4 players. Digital Video Cartridge not used (predates it; base-player video)</x:v>
      </x:c>
      <x:c r="X199" s="9" t="str">
        <x:v>Low</x:v>
      </x:c>
      <x:c r="Y199" s="9" t="str"/>
      <x:c r="Z199" s="9" t="str">
        <x:v>20–30 min per game</x:v>
      </x:c>
      <x:c r="AA199" s="9" t="str">
        <x:v>An FMV slumber party where you quiz video boyfriends to find your dream date — CD-i's answer to Mystery Date.</x:v>
      </x:c>
      <x:c r="AB199" s="9" t="str">
        <x:v>None known</x:v>
      </x:c>
      <x:c r="AC199" s="9" t="str">
        <x:v>Base CD-i partial-screen live-action clips (verify)</x:v>
      </x:c>
      <x:c r="AD199" s="9" t="str">
        <x:v>Easy</x:v>
      </x:c>
      <x:c r="AE199" s="9" t="str">
        <x:v>Randomised: 4 boys drawn from a pool (15+/20+/30 depending on source)</x:v>
      </x:c>
      <x:c r="AF199" s="9" t="str">
        <x:v>Hosted by Heidi Lucas of Nickelodeon's Salute Your Shorts.</x:v>
      </x:c>
      <x:c r="AG199" s="9" t="str">
        <x:v>EU catalogue 8100118</x:v>
      </x:c>
      <x:c r="AH199" s="9" t="str">
        <x:v>No</x:v>
      </x:c>
      <x:c r="AI199" s="9" t="str">
        <x:v>Easy</x:v>
      </x:c>
      <x:c r="AJ199" s="9"/>
      <x:c r="AK199" s="9" t="str">
        <x:v>Candidate count conflicts between Giant Bomb (15+), IMDb (20+) and World of CD-i (30). Not listed on PriceCharting's CD-i page (2026-10-20).</x:v>
      </x:c>
      <x:c r="AL199" s="10"/>
      <x:c r="AM199" s="10"/>
      <x:c r="AN199" s="10"/>
      <x:c r="AO199" s="9"/>
      <x:c r="AP199" s="11" t="str">
        <x:f>HYPERLINK("https://www.pricecharting.com/search-products?q=Girl%27s+Club+cd-i&amp;type=prices","PriceCharting")</x:f>
        <x:v>PriceCharting</x:v>
      </x:c>
      <x:c r="AQ199" s="9"/>
      <x:c r="AR199" s="9"/>
      <x:c r="AS199" s="9"/>
      <x:c r="AT199" s="9"/>
      <x:c r="AU199" s="9"/>
      <x:c r="AV199" s="9"/>
      <x:c r="AW199" s="9"/>
      <x:c r="AX199" s="9"/>
      <x:c r="AY199" s="9"/>
      <x:c r="AZ199" s="9"/>
      <x:c r="BA199" s="11" t="str">
        <x:f>HYPERLINK("https://www.mobygames.com/game/40862/girls-club/","MobyGames")</x:f>
        <x:v>MobyGames</x:v>
      </x:c>
      <x:c r="BB199" s="9"/>
      <x:c r="BC199" s="9"/>
      <x:c r="BD199" s="9"/>
      <x:c r="BE199" s="9"/>
      <x:c r="BF199" s="11" t="str">
        <x:f>HYPERLINK("https://backloggd.com/search/games/Girl%27s%20Club/","Backloggd")</x:f>
        <x:v>Backloggd</x:v>
      </x:c>
      <x:c r="BG199" s="9"/>
      <x:c r="BH199" s="9"/>
      <x:c r="BI199" s="12" t="str">
        <x:v>No</x:v>
      </x:c>
      <x:c r="BJ199" s="12" t="str"/>
      <x:c r="BK199" s="12" t="str">
        <x:v>No</x:v>
      </x:c>
      <x:c r="BL199" s="12" t="str"/>
      <x:c r="BM199" s="12" t="str"/>
      <x:c r="BN199" s="12" t="str"/>
      <x:c r="BO199" s="12" t="str"/>
      <x:c r="BP199" s="12" t="str"/>
      <x:c r="BQ199" s="12" t="str"/>
    </x:row>
    <x:row r="200">
      <x:c r="A200" s="9" t="str">
        <x:v>cdi-55</x:v>
      </x:c>
      <x:c r="B200" s="9" t="str">
        <x:v>tetris</x:v>
      </x:c>
      <x:c r="C200" s="9" t="str">
        <x:v>Philips CD-i</x:v>
      </x:c>
      <x:c r="D200" s="9" t="str">
        <x:v>Tetris</x:v>
      </x:c>
      <x:c r="E200" s="9" t="str"/>
      <x:c r="F200" s="9" t="str">
        <x:v>Philips POV Entertainment Group</x:v>
      </x:c>
      <x:c r="G200" s="9" t="str">
        <x:v>Philips Interactive Media</x:v>
      </x:c>
      <x:c r="H200" s="9" t="n">
        <x:v>1992</x:v>
      </x:c>
      <x:c r="I200" s="9" t="str">
        <x:v>Yes</x:v>
      </x:c>
      <x:c r="J200" s="9" t="str">
        <x:v>Yes</x:v>
      </x:c>
      <x:c r="K200" s="9" t="str">
        <x:v>Yes</x:v>
      </x:c>
      <x:c r="L200" s="9" t="str">
        <x:v>No</x:v>
      </x:c>
      <x:c r="M200" s="9" t="str">
        <x:v>Puzzle</x:v>
      </x:c>
      <x:c r="N200" s="9" t="str">
        <x:v>Live-action</x:v>
      </x:c>
      <x:c r="O200" s="9" t="n">
        <x:v>3</x:v>
      </x:c>
      <x:c r="P200" s="9" t="str">
        <x:v>Cutscenes only</x:v>
      </x:c>
      <x:c r="Q200" s="9" t="str">
        <x:v>Released</x:v>
      </x:c>
      <x:c r="R200" s="9" t="str">
        <x:v>Tetris license</x:v>
      </x:c>
      <x:c r="S200" s="9" t="str">
        <x:v>Tetris exists on most platforms; this version CD-i only</x:v>
      </x:c>
      <x:c r="T200" s="9" t="str">
        <x:v>—</x:v>
      </x:c>
      <x:c r="U200" s="9" t="n">
        <x:v>1</x:v>
      </x:c>
      <x:c r="V200" s="9" t="str">
        <x:v>No (high scores only, saved to the player's NVRAM per TetrisWiki)</x:v>
      </x:c>
      <x:c r="W200" s="9" t="str">
        <x:v>CD-i remote/gamepad. Digital Video Cartridge not used</x:v>
      </x:c>
      <x:c r="X200" s="9" t="str">
        <x:v>Low</x:v>
      </x:c>
      <x:c r="Y200" s="9" t="str">
        <x:v>Original New Age soundtrack by Jim Andron (low risk)</x:v>
      </x:c>
      <x:c r="Z200" s="9" t="str">
        <x:v>Endless; 20–40 min session</x:v>
      </x:c>
      <x:c r="AA200" s="9" t="str">
        <x:v>Tetris over looping full-motion nature footage and a New Age soundtrack — the most relaxing Tetris ever made, and the clumsiest to control.</x:v>
      </x:c>
      <x:c r="AB200" s="9" t="str">
        <x:v>None known</x:v>
      </x:c>
      <x:c r="AC200" s="9" t="str">
        <x:v>Full-motion nature video backgrounds behind the well, about ten, one per stage</x:v>
      </x:c>
      <x:c r="AD200" s="9" t="str">
        <x:v>Moderate; controls criticised</x:v>
      </x:c>
      <x:c r="AE200" s="9" t="str">
        <x:v>None</x:v>
      </x:c>
      <x:c r="AF200" s="9" t="str">
        <x:v>Rediscovered around 2016 for its Jim Andron soundtrack; Kotaku said it 'plays like crap but sounds like John Tesh'.</x:v>
      </x:c>
      <x:c r="AG200" s="9" t="str"/>
      <x:c r="AH200" s="9" t="str">
        <x:v>No</x:v>
      </x:c>
      <x:c r="AI200" s="9" t="str">
        <x:v>Easy</x:v>
      </x:c>
      <x:c r="AJ200" s="9"/>
      <x:c r="AK200" s="9" t="str">
        <x:v>Video is background only; scored as cutscene-level FMV.</x:v>
      </x:c>
      <x:c r="AL200" s="10" t="n">
        <x:v>20.74</x:v>
      </x:c>
      <x:c r="AM200" s="10" t="n">
        <x:v>36</x:v>
      </x:c>
      <x:c r="AN200" s="10" t="n">
        <x:v>45</x:v>
      </x:c>
      <x:c r="AO200" s="9" t="str">
        <x:v>2026-10-20</x:v>
      </x:c>
      <x:c r="AP200" s="11" t="str">
        <x:f>HYPERLINK("https://www.pricecharting.com/game/cd-i/tetris","PriceCharting")</x:f>
        <x:v>PriceCharting</x:v>
      </x:c>
      <x:c r="AQ200" s="9"/>
      <x:c r="AR200" s="9"/>
      <x:c r="AS200" s="9"/>
      <x:c r="AT200" s="9"/>
      <x:c r="AU200" s="9"/>
      <x:c r="AV200" s="9"/>
      <x:c r="AW200" s="9"/>
      <x:c r="AX200" s="9"/>
      <x:c r="AY200" s="9"/>
      <x:c r="AZ200" s="9"/>
      <x:c r="BA200" s="11" t="str">
        <x:f>HYPERLINK("https://www.mobygames.com/game/45865/tetris/","MobyGames")</x:f>
        <x:v>MobyGames</x:v>
      </x:c>
      <x:c r="BB200" s="9"/>
      <x:c r="BC200" s="9"/>
      <x:c r="BD200" s="9"/>
      <x:c r="BE200" s="9"/>
      <x:c r="BF200" s="11" t="str">
        <x:f>HYPERLINK("https://backloggd.com/search/games/Tetris/","Backloggd")</x:f>
        <x:v>Backloggd</x:v>
      </x:c>
      <x:c r="BG200" s="9"/>
      <x:c r="BH200" s="9"/>
      <x:c r="BI200" s="12" t="str">
        <x:v>No</x:v>
      </x:c>
      <x:c r="BJ200" s="12" t="str"/>
      <x:c r="BK200" s="12" t="str">
        <x:v>No</x:v>
      </x:c>
      <x:c r="BL200" s="12" t="str"/>
      <x:c r="BM200" s="12" t="str"/>
      <x:c r="BN200" s="12" t="str"/>
      <x:c r="BO200" s="12" t="str"/>
      <x:c r="BP200" s="12" t="str"/>
      <x:c r="BQ200" s="12" t="str"/>
    </x:row>
    <x:row r="201">
      <x:c r="A201" s="9" t="str">
        <x:v>cdi-56</x:v>
      </x:c>
      <x:c r="B201" s="9" t="str">
        <x:v>christmas-crisis</x:v>
      </x:c>
      <x:c r="C201" s="9" t="str">
        <x:v>Philips CD-i</x:v>
      </x:c>
      <x:c r="D201" s="9" t="str">
        <x:v>Christmas Crisis</x:v>
      </x:c>
      <x:c r="E201" s="9" t="str"/>
      <x:c r="F201" s="9" t="str">
        <x:v>Creative Multimedia Corporation (DIMA)</x:v>
      </x:c>
      <x:c r="G201" s="9" t="str">
        <x:v>Philips Interactive Media</x:v>
      </x:c>
      <x:c r="H201" s="9" t="n">
        <x:v>1995</x:v>
      </x:c>
      <x:c r="I201" s="9" t="str">
        <x:v>No</x:v>
      </x:c>
      <x:c r="J201" s="9" t="str">
        <x:v>No</x:v>
      </x:c>
      <x:c r="K201" s="9" t="str">
        <x:v>Yes</x:v>
      </x:c>
      <x:c r="L201" s="9" t="str">
        <x:v>No</x:v>
      </x:c>
      <x:c r="M201" s="9" t="str">
        <x:v>Platformer</x:v>
      </x:c>
      <x:c r="N201" s="9" t="str">
        <x:v>Pre-rendered CG (verify)</x:v>
      </x:c>
      <x:c r="O201" s="9" t="n">
        <x:v>2</x:v>
      </x:c>
      <x:c r="P201" s="9" t="str">
        <x:v>Cutscenes only</x:v>
      </x:c>
      <x:c r="Q201" s="9" t="str">
        <x:v>Released</x:v>
      </x:c>
      <x:c r="R201" s="9" t="str">
        <x:v>Original production</x:v>
      </x:c>
      <x:c r="S201" s="9" t="str">
        <x:v>None</x:v>
      </x:c>
      <x:c r="T201" s="9" t="str">
        <x:v>—</x:v>
      </x:c>
      <x:c r="U201" s="9" t="n">
        <x:v>1</x:v>
      </x:c>
      <x:c r="V201" s="9" t="str">
        <x:v>No (passwords)</x:v>
      </x:c>
      <x:c r="W201" s="9" t="str">
        <x:v>Digital Video Cartridge REQUIRED (per Wikipedia CD-i list); gamepad</x:v>
      </x:c>
      <x:c r="X201" s="9" t="str">
        <x:v>Low</x:v>
      </x:c>
      <x:c r="Y201" s="9" t="str"/>
      <x:c r="Z201" s="9" t="str">
        <x:v>1–2 hr</x:v>
      </x:c>
      <x:c r="AA201" s="9" t="str">
        <x:v>Santa vs. Dr. Rubberchicken in a DVC-only CD-i platformer with first-person sleigh rides between levels.</x:v>
      </x:c>
      <x:c r="AB201" s="9" t="str">
        <x:v>None known</x:v>
      </x:c>
      <x:c r="AC201" s="9" t="str">
        <x:v>MPEG via the DVC; MobyGames credits a 'Rendered Sequences' role, so expect pre-rendered sequences. Whether the 3D sleigh-ride bonus stages between levels are streamed video is not confirmed (verify).</x:v>
      </x:c>
      <x:c r="AD201" s="9" t="str">
        <x:v>Moderate</x:v>
      </x:c>
      <x:c r="AE201" s="9" t="str">
        <x:v>Single ending</x:v>
      </x:c>
      <x:c r="AF201" s="9" t="str">
        <x:v>Often confused with Christmas Country; they are two different games by the same team.</x:v>
      </x:c>
      <x:c r="AG201" s="9" t="str"/>
      <x:c r="AH201" s="9" t="str">
        <x:v>No</x:v>
      </x:c>
      <x:c r="AI201" s="9" t="str">
        <x:v>Add-on required</x:v>
      </x:c>
      <x:c r="AJ201" s="9"/>
      <x:c r="AK201" s="9" t="str">
        <x:v>Wikipedia lists DVC required, which implies MPEG content, but the nature of the video is unconfirmed. Region NA availability unverified.</x:v>
      </x:c>
      <x:c r="AL201" s="10" t="n">
        <x:v>24.95</x:v>
      </x:c>
      <x:c r="AM201" s="10" t="n">
        <x:v>43.96</x:v>
      </x:c>
      <x:c r="AN201" s="10" t="n">
        <x:v>88</x:v>
      </x:c>
      <x:c r="AO201" s="9" t="str">
        <x:v>2026-10-20</x:v>
      </x:c>
      <x:c r="AP201" s="11" t="str">
        <x:f>HYPERLINK("https://www.pricecharting.com/game/cd-i/christmas-crisis","PriceCharting")</x:f>
        <x:v>PriceCharting</x:v>
      </x:c>
      <x:c r="AQ201" s="9"/>
      <x:c r="AR201" s="9"/>
      <x:c r="AS201" s="9"/>
      <x:c r="AT201" s="9"/>
      <x:c r="AU201" s="9"/>
      <x:c r="AV201" s="9"/>
      <x:c r="AW201" s="9"/>
      <x:c r="AX201" s="9"/>
      <x:c r="AY201" s="9" t="str">
        <x:v>75%</x:v>
      </x:c>
      <x:c r="AZ201" s="9"/>
      <x:c r="BA201" s="11" t="str">
        <x:f>HYPERLINK("https://www.mobygames.com/game/cd-i/christmas-crisis","MobyGames")</x:f>
        <x:v>MobyGames</x:v>
      </x:c>
      <x:c r="BB201" s="9"/>
      <x:c r="BC201" s="9"/>
      <x:c r="BD201" s="9"/>
      <x:c r="BE201" s="9"/>
      <x:c r="BF201" s="11" t="str">
        <x:f>HYPERLINK("https://backloggd.com/search/games/Christmas%20Crisis/","Backloggd")</x:f>
        <x:v>Backloggd</x:v>
      </x:c>
      <x:c r="BG201" s="9"/>
      <x:c r="BH201" s="9"/>
      <x:c r="BI201" s="12" t="str">
        <x:v>No</x:v>
      </x:c>
      <x:c r="BJ201" s="12" t="str"/>
      <x:c r="BK201" s="12" t="str">
        <x:v>No</x:v>
      </x:c>
      <x:c r="BL201" s="12" t="str"/>
      <x:c r="BM201" s="12" t="str"/>
      <x:c r="BN201" s="12" t="str"/>
      <x:c r="BO201" s="12" t="str"/>
      <x:c r="BP201" s="12" t="str"/>
      <x:c r="BQ201" s="12" t="str"/>
    </x:row>
    <x:row r="202">
      <x:c r="A202" s="9" t="str">
        <x:v>cdi-57</x:v>
      </x:c>
      <x:c r="B202" s="9" t="str">
        <x:v>christmas-country</x:v>
      </x:c>
      <x:c r="C202" s="9" t="str">
        <x:v>Philips CD-i</x:v>
      </x:c>
      <x:c r="D202" s="9" t="str">
        <x:v>Christmas Country</x:v>
      </x:c>
      <x:c r="E202" s="9" t="str">
        <x:v>Another X-Mas (internal disc title)</x:v>
      </x:c>
      <x:c r="F202" s="9" t="str">
        <x:v>Creative Media (DIMA)</x:v>
      </x:c>
      <x:c r="G202" s="9" t="str">
        <x:v>Philips Media</x:v>
      </x:c>
      <x:c r="H202" s="9" t="n">
        <x:v>1996</x:v>
      </x:c>
      <x:c r="I202" s="9" t="str">
        <x:v>No</x:v>
      </x:c>
      <x:c r="J202" s="9" t="str">
        <x:v>No</x:v>
      </x:c>
      <x:c r="K202" s="9" t="str">
        <x:v>Yes</x:v>
      </x:c>
      <x:c r="L202" s="9" t="str">
        <x:v>No</x:v>
      </x:c>
      <x:c r="M202" s="9" t="str">
        <x:v>Platformer</x:v>
      </x:c>
      <x:c r="N202" s="9" t="str">
        <x:v>Pre-rendered CG (verify; inferred from the DVC requirement and the same studio's Christmas Crisis)</x:v>
      </x:c>
      <x:c r="O202" s="9" t="n">
        <x:v>2</x:v>
      </x:c>
      <x:c r="P202" s="9" t="str">
        <x:v>Cutscenes only</x:v>
      </x:c>
      <x:c r="Q202" s="9" t="str">
        <x:v>Released</x:v>
      </x:c>
      <x:c r="R202" s="9" t="str">
        <x:v>Original production</x:v>
      </x:c>
      <x:c r="S202" s="9" t="str">
        <x:v>None</x:v>
      </x:c>
      <x:c r="T202" s="9" t="str">
        <x:v>—</x:v>
      </x:c>
      <x:c r="U202" s="9" t="n">
        <x:v>1</x:v>
      </x:c>
      <x:c r="V202" s="9" t="str">
        <x:v>Unknown — verify</x:v>
      </x:c>
      <x:c r="W202" s="9" t="str">
        <x:v>Digital Video Cartridge REQUIRED (per Wikipedia CD-i list); gamepad</x:v>
      </x:c>
      <x:c r="X202" s="9" t="str">
        <x:v>Low</x:v>
      </x:c>
      <x:c r="Y202" s="9" t="str"/>
      <x:c r="Z202" s="9" t="str">
        <x:v>1–2 hr (16 levels)</x:v>
      </x:c>
      <x:c r="AA202" s="9" t="str">
        <x:v>A late, DVC-only Christmas platformer for a dying console — boasting it was the first CD-i platformer with 'lots of enemies'.</x:v>
      </x:c>
      <x:c r="AB202" s="9" t="str">
        <x:v>Hidden level select reached via secrets in level 1, then appears in Options (per TCRF; exact steps verify)</x:v>
      </x:c>
      <x:c r="AC202" s="9" t="str">
        <x:v>Unknown — verify</x:v>
      </x:c>
      <x:c r="AD202" s="9" t="str">
        <x:v>Moderate</x:v>
      </x:c>
      <x:c r="AE202" s="9" t="str">
        <x:v>Single ending (verify)</x:v>
      </x:c>
      <x:c r="AF202" s="9" t="str">
        <x:v>Internal disc title is 'Another X-Mas'.</x:v>
      </x:c>
      <x:c r="AG202" s="9" t="str"/>
      <x:c r="AH202" s="9" t="str">
        <x:v>No</x:v>
      </x:c>
      <x:c r="AI202" s="9" t="str">
        <x:v>Add-on required</x:v>
      </x:c>
      <x:c r="AJ202" s="9"/>
      <x:c r="AK202" s="9" t="str">
        <x:v>DVC requirement per Wikipedia; what it streams is unconfirmed.</x:v>
      </x:c>
      <x:c r="AL202" s="10" t="n">
        <x:v>24.97</x:v>
      </x:c>
      <x:c r="AM202" s="10" t="n">
        <x:v>43.15</x:v>
      </x:c>
      <x:c r="AN202" s="10" t="n">
        <x:v>43.86</x:v>
      </x:c>
      <x:c r="AO202" s="9" t="str">
        <x:v>2026-10-20</x:v>
      </x:c>
      <x:c r="AP202" s="11" t="str">
        <x:f>HYPERLINK("https://www.pricecharting.com/game/cd-i/christmas-country","PriceCharting")</x:f>
        <x:v>PriceCharting</x:v>
      </x:c>
      <x:c r="AQ202" s="9"/>
      <x:c r="AR202" s="9"/>
      <x:c r="AS202" s="9"/>
      <x:c r="AT202" s="9"/>
      <x:c r="AU202" s="9"/>
      <x:c r="AV202" s="9"/>
      <x:c r="AW202" s="9"/>
      <x:c r="AX202" s="9"/>
      <x:c r="AY202" s="9"/>
      <x:c r="AZ202" s="9"/>
      <x:c r="BA202" s="11" t="str">
        <x:f>HYPERLINK("https://www.mobygames.com/game/39693/christmas-country/","MobyGames")</x:f>
        <x:v>MobyGames</x:v>
      </x:c>
      <x:c r="BB202" s="9"/>
      <x:c r="BC202" s="9"/>
      <x:c r="BD202" s="9"/>
      <x:c r="BE202" s="9"/>
      <x:c r="BF202" s="11" t="str">
        <x:f>HYPERLINK("https://backloggd.com/search/games/Christmas%20Country/","Backloggd")</x:f>
        <x:v>Backloggd</x:v>
      </x:c>
      <x:c r="BG202" s="9"/>
      <x:c r="BH202" s="9"/>
      <x:c r="BI202" s="12" t="str">
        <x:v>No</x:v>
      </x:c>
      <x:c r="BJ202" s="12" t="str"/>
      <x:c r="BK202" s="12" t="str">
        <x:v>No</x:v>
      </x:c>
      <x:c r="BL202" s="12" t="str"/>
      <x:c r="BM202" s="12" t="str"/>
      <x:c r="BN202" s="12" t="str"/>
      <x:c r="BO202" s="12" t="str"/>
      <x:c r="BP202" s="12" t="str"/>
      <x:c r="BQ202" s="12" t="str"/>
    </x:row>
    <x:row r="203">
      <x:c r="A203" s="9" t="str">
        <x:v>cdi-58</x:v>
      </x:c>
      <x:c r="B203" s="9" t="str">
        <x:v>myst</x:v>
      </x:c>
      <x:c r="C203" s="9" t="str">
        <x:v>Philips CD-i</x:v>
      </x:c>
      <x:c r="D203" s="9" t="str">
        <x:v>Myst</x:v>
      </x:c>
      <x:c r="E203" s="9" t="str"/>
      <x:c r="F203" s="9" t="str">
        <x:v>Cyan (original); CD-i port by Ledge Multimedia (The World of CD-i)</x:v>
      </x:c>
      <x:c r="G203" s="9" t="str">
        <x:v>Philips Media</x:v>
      </x:c>
      <x:c r="H203" s="9" t="n">
        <x:v>1996</x:v>
      </x:c>
      <x:c r="I203" s="9" t="str">
        <x:v>No</x:v>
      </x:c>
      <x:c r="J203" s="9" t="str">
        <x:v>No</x:v>
      </x:c>
      <x:c r="K203" s="9" t="str">
        <x:v>Yes</x:v>
      </x:c>
      <x:c r="L203" s="9" t="str">
        <x:v>No</x:v>
      </x:c>
      <x:c r="M203" s="9" t="str">
        <x:v>First-person puzzle adventure</x:v>
      </x:c>
      <x:c r="N203" s="9" t="str">
        <x:v>Pre-rendered CG</x:v>
      </x:c>
      <x:c r="O203" s="9" t="n">
        <x:v>4</x:v>
      </x:c>
      <x:c r="P203" s="9" t="str">
        <x:v>FMV adventure</x:v>
      </x:c>
      <x:c r="Q203" s="9" t="str">
        <x:v>Released</x:v>
      </x:c>
      <x:c r="R203" s="9" t="str">
        <x:v>PC/Mac original (Cyan, 1993)</x:v>
      </x:c>
      <x:c r="S203" s="9" t="str">
        <x:v>Mac, PC, Saturn, PlayStation, Jaguar CD, 3DO, many modern re-releases</x:v>
      </x:c>
      <x:c r="T203" s="9" t="str">
        <x:v>Rand Miller (Atrus), Robyn Miller (Achenar), Rand Miller (Sirrus)</x:v>
      </x:c>
      <x:c r="U203" s="9" t="n">
        <x:v>1</x:v>
      </x:c>
      <x:c r="V203" s="9" t="str">
        <x:v>Yes</x:v>
      </x:c>
      <x:c r="W203" s="9" t="str">
        <x:v>CD-i pointing device/remote. Digital Video Cartridge NOT USED (The World of CD-i lists DVC: No, and Myst is absent from its DVC-required list).</x:v>
      </x:c>
      <x:c r="X203" s="9" t="str">
        <x:v>Low</x:v>
      </x:c>
      <x:c r="Y203" s="9" t="str"/>
      <x:c r="Z203" s="9" t="str">
        <x:v>3–6 hr first time</x:v>
      </x:c>
      <x:c r="AA203" s="9" t="str">
        <x:v>Cyan's slideshow masterpiece squeezed onto a CD-i — the speedrun gets to Atrus in minutes.</x:v>
      </x:c>
      <x:c r="AB203" s="9" t="str">
        <x:v>None known</x:v>
      </x:c>
      <x:c r="AC203" s="9" t="str">
        <x:v>Live-action brothers/Atrus clips and pre-rendered transitions (verify quality on CD-i)</x:v>
      </x:c>
      <x:c r="AD203" s="9" t="str">
        <x:v>Hard without a guide</x:v>
      </x:c>
      <x:c r="AE203" s="9" t="str">
        <x:v>Four (Sirrus, Achenar, trapped, true ending)</x:v>
      </x:c>
      <x:c r="AF203" s="9" t="str">
        <x:v>TASVideos' first published CD-i run was Myst.</x:v>
      </x:c>
      <x:c r="AG203" s="9" t="str">
        <x:v>Europe only</x:v>
      </x:c>
      <x:c r="AH203" s="9" t="str">
        <x:v>Yes (Steam/GOG remakes; not the CD-i version)</x:v>
      </x:c>
      <x:c r="AI203" s="9" t="str">
        <x:v>Add-on required</x:v>
      </x:c>
      <x:c r="AJ203" s="9"/>
      <x:c r="AK203" s="9" t="str">
        <x:v>Europe 1996 per Wikipedia. Whether DVC is required is unconfirmed.</x:v>
      </x:c>
      <x:c r="AL203" s="10" t="n">
        <x:v>6.4</x:v>
      </x:c>
      <x:c r="AM203" s="10" t="n">
        <x:v>17.92</x:v>
      </x:c>
      <x:c r="AN203" s="10" t="n">
        <x:v>18.49</x:v>
      </x:c>
      <x:c r="AO203" s="9" t="str">
        <x:v>2026-10-20</x:v>
      </x:c>
      <x:c r="AP203" s="11" t="str">
        <x:f>HYPERLINK("https://www.pricecharting.com/game/cd-i/myst","PriceCharting")</x:f>
        <x:v>PriceCharting</x:v>
      </x:c>
      <x:c r="AQ203" s="9"/>
      <x:c r="AR203" s="9"/>
      <x:c r="AS203" s="9"/>
      <x:c r="AT203" s="9"/>
      <x:c r="AU203" s="9"/>
      <x:c r="AV203" s="9"/>
      <x:c r="AW203" s="9"/>
      <x:c r="AX203" s="9"/>
      <x:c r="AY203" s="9"/>
      <x:c r="AZ203" s="9" t="str">
        <x:v>4.2</x:v>
      </x:c>
      <x:c r="BA203" s="11" t="str">
        <x:f>HYPERLINK("https://www.mobygames.com/game/1223/myst/","MobyGames")</x:f>
        <x:v>MobyGames</x:v>
      </x:c>
      <x:c r="BB203" s="9"/>
      <x:c r="BC203" s="9"/>
      <x:c r="BD203" s="9"/>
      <x:c r="BE203" s="11" t="str">
        <x:f>HYPERLINK("https://en.wikipedia.org/wiki/Myst","Wikipedia")</x:f>
        <x:v>Wikipedia</x:v>
      </x:c>
      <x:c r="BF203" s="11" t="str">
        <x:f>HYPERLINK("https://backloggd.com/search/games/Myst/","Backloggd")</x:f>
        <x:v>Backloggd</x:v>
      </x:c>
      <x:c r="BG203" s="9"/>
      <x:c r="BH203" s="9"/>
      <x:c r="BI203" s="12" t="str">
        <x:v>No</x:v>
      </x:c>
      <x:c r="BJ203" s="12" t="str"/>
      <x:c r="BK203" s="12" t="str">
        <x:v>No</x:v>
      </x:c>
      <x:c r="BL203" s="12" t="str"/>
      <x:c r="BM203" s="12" t="str"/>
      <x:c r="BN203" s="12" t="str"/>
      <x:c r="BO203" s="12" t="str"/>
      <x:c r="BP203" s="12" t="str"/>
      <x:c r="BQ203" s="12" t="str"/>
    </x:row>
    <x:row r="204">
      <x:c r="A204" s="9" t="str">
        <x:v>cdi-59</x:v>
      </x:c>
      <x:c r="B204" s="9" t="str">
        <x:v>marco-polo</x:v>
      </x:c>
      <x:c r="C204" s="9" t="str">
        <x:v>Philips CD-i</x:v>
      </x:c>
      <x:c r="D204" s="9" t="str">
        <x:v>Marco Polo</x:v>
      </x:c>
      <x:c r="E204" s="9" t="str"/>
      <x:c r="F204" s="9" t="str">
        <x:v>Infogrames</x:v>
      </x:c>
      <x:c r="G204" s="9" t="str">
        <x:v>Philips Interactive Media</x:v>
      </x:c>
      <x:c r="H204" s="9" t="n">
        <x:v>1995</x:v>
      </x:c>
      <x:c r="I204" s="9" t="str">
        <x:v>No</x:v>
      </x:c>
      <x:c r="J204" s="9" t="str">
        <x:v>No</x:v>
      </x:c>
      <x:c r="K204" s="9" t="str">
        <x:v>Yes</x:v>
      </x:c>
      <x:c r="L204" s="9" t="str">
        <x:v>No</x:v>
      </x:c>
      <x:c r="M204" s="9" t="str">
        <x:v>Historical strategy / trading</x:v>
      </x:c>
      <x:c r="N204" s="9" t="str">
        <x:v>Live-action</x:v>
      </x:c>
      <x:c r="O204" s="9" t="n">
        <x:v>4</x:v>
      </x:c>
      <x:c r="P204" s="9" t="str">
        <x:v>FMV adventure</x:v>
      </x:c>
      <x:c r="Q204" s="9" t="str">
        <x:v>Released</x:v>
      </x:c>
      <x:c r="R204" s="9" t="str">
        <x:v>Original; footage from an Italian TV series about Marco Polo (verify which)</x:v>
      </x:c>
      <x:c r="S204" s="9" t="str">
        <x:v>PC (I-Motion, 1995)</x:v>
      </x:c>
      <x:c r="T204" s="9" t="str">
        <x:v>Unknown — verify</x:v>
      </x:c>
      <x:c r="U204" s="9" t="n">
        <x:v>2</x:v>
      </x:c>
      <x:c r="V204" s="9" t="str">
        <x:v>Unknown — verify</x:v>
      </x:c>
      <x:c r="W204" s="9" t="str">
        <x:v>CD-i gamepad. Digital Video Cartridge NOT USED (The World of CD-i lists DVC: No). 2 discs per World of CD-i.</x:v>
      </x:c>
      <x:c r="X204" s="9" t="str">
        <x:v>Med</x:v>
      </x:c>
      <x:c r="Y204" s="9" t="str">
        <x:v>Licensed Italian TV-series footage (verify)</x:v>
      </x:c>
      <x:c r="Z204" s="9" t="str">
        <x:v>2–4 hr</x:v>
      </x:c>
      <x:c r="AA204" s="9" t="str">
        <x:v>Retrace Marco Polo's road to Kublai Khan, briefed by clips from an Italian TV miniseries.</x:v>
      </x:c>
      <x:c r="AB204" s="9" t="str">
        <x:v>None known</x:v>
      </x:c>
      <x:c r="AC204" s="9" t="str">
        <x:v>Short video sequences for missions plus ~2,000 digitised stills (verify CD-i quality)</x:v>
      </x:c>
      <x:c r="AD204" s="9" t="str">
        <x:v>Moderate</x:v>
      </x:c>
      <x:c r="AE204" s="9" t="str">
        <x:v>Unknown — verify</x:v>
      </x:c>
      <x:c r="AF204" s="9" t="str">
        <x:v>MobyGames says missions are illustrated with pictures from an Italian TV series — likely the 1982 RAI miniseries (verify).</x:v>
      </x:c>
      <x:c r="AG204" s="9" t="str">
        <x:v>EU; PC version 1995</x:v>
      </x:c>
      <x:c r="AH204" s="9" t="str">
        <x:v>No</x:v>
      </x:c>
      <x:c r="AI204" s="9" t="str">
        <x:v>Easy</x:v>
      </x:c>
      <x:c r="AJ204" s="9"/>
      <x:c r="AK204" s="9" t="str">
        <x:v>Two discs and 1995 per The World of CD-i; Good Old Days/Coleka say 1994.</x:v>
      </x:c>
      <x:c r="AL204" s="10" t="n">
        <x:v>21.98</x:v>
      </x:c>
      <x:c r="AM204" s="10" t="n">
        <x:v>27.95</x:v>
      </x:c>
      <x:c r="AN204" s="10" t="n">
        <x:v>56</x:v>
      </x:c>
      <x:c r="AO204" s="9" t="str">
        <x:v>2026-10-20</x:v>
      </x:c>
      <x:c r="AP204" s="11" t="str">
        <x:f>HYPERLINK("https://www.pricecharting.com/game/cd-i/marco-polo","PriceCharting")</x:f>
        <x:v>PriceCharting</x:v>
      </x:c>
      <x:c r="AQ204" s="9"/>
      <x:c r="AR204" s="9"/>
      <x:c r="AS204" s="9"/>
      <x:c r="AT204" s="9"/>
      <x:c r="AU204" s="9"/>
      <x:c r="AV204" s="9"/>
      <x:c r="AW204" s="9"/>
      <x:c r="AX204" s="9"/>
      <x:c r="AY204" s="9"/>
      <x:c r="AZ204" s="9"/>
      <x:c r="BA204" s="11" t="str">
        <x:f>HYPERLINK("https://www.mobygames.com/game/cd-i/marco-polo","MobyGames")</x:f>
        <x:v>MobyGames</x:v>
      </x:c>
      <x:c r="BB204" s="9"/>
      <x:c r="BC204" s="9"/>
      <x:c r="BD204" s="9"/>
      <x:c r="BE204" s="9"/>
      <x:c r="BF204" s="11" t="str">
        <x:f>HYPERLINK("https://backloggd.com/search/games/Marco%20Polo/","Backloggd")</x:f>
        <x:v>Backloggd</x:v>
      </x:c>
      <x:c r="BG204" s="9"/>
      <x:c r="BH204" s="9"/>
      <x:c r="BI204" s="12" t="str">
        <x:v>No</x:v>
      </x:c>
      <x:c r="BJ204" s="12" t="str"/>
      <x:c r="BK204" s="12" t="str">
        <x:v>No</x:v>
      </x:c>
      <x:c r="BL204" s="12" t="str"/>
      <x:c r="BM204" s="12" t="str"/>
      <x:c r="BN204" s="12" t="str"/>
      <x:c r="BO204" s="12" t="str"/>
      <x:c r="BP204" s="12" t="str"/>
      <x:c r="BQ204" s="12" t="str"/>
    </x:row>
    <x:row r="205">
      <x:c r="A205" s="9" t="str">
        <x:v>cdi-60</x:v>
      </x:c>
      <x:c r="B205" s="9" t="str">
        <x:v>asterix-caesars-challenge</x:v>
      </x:c>
      <x:c r="C205" s="9" t="str">
        <x:v>Philips CD-i</x:v>
      </x:c>
      <x:c r="D205" s="9" t="str">
        <x:v>Asterix: Caesar's Challenge</x:v>
      </x:c>
      <x:c r="E205" s="9" t="str">
        <x:v>Astérix: Le Défi de César</x:v>
      </x:c>
      <x:c r="F205" s="9" t="str">
        <x:v>Infogrames Multimedia</x:v>
      </x:c>
      <x:c r="G205" s="9" t="str">
        <x:v>Philips Interactive Media France / Pathé Interactive</x:v>
      </x:c>
      <x:c r="H205" s="9" t="n">
        <x:v>1995</x:v>
      </x:c>
      <x:c r="I205" s="9" t="str">
        <x:v>No</x:v>
      </x:c>
      <x:c r="J205" s="9" t="str">
        <x:v>No</x:v>
      </x:c>
      <x:c r="K205" s="9" t="str">
        <x:v>Yes</x:v>
      </x:c>
      <x:c r="L205" s="9" t="str">
        <x:v>No</x:v>
      </x:c>
      <x:c r="M205" s="9" t="str">
        <x:v>Board game / minigames</x:v>
      </x:c>
      <x:c r="N205" s="9" t="str">
        <x:v>Animated</x:v>
      </x:c>
      <x:c r="O205" s="9" t="n">
        <x:v>2</x:v>
      </x:c>
      <x:c r="P205" s="9" t="str">
        <x:v>Cutscenes only</x:v>
      </x:c>
      <x:c r="Q205" s="9" t="str">
        <x:v>Released</x:v>
      </x:c>
      <x:c r="R205" s="9" t="str">
        <x:v>Asterix comics license</x:v>
      </x:c>
      <x:c r="S205" s="9" t="str">
        <x:v>PC, Mac</x:v>
      </x:c>
      <x:c r="T205" s="9" t="str">
        <x:v>—</x:v>
      </x:c>
      <x:c r="U205" s="9" t="n">
        <x:v>1</x:v>
      </x:c>
      <x:c r="V205" s="9" t="str">
        <x:v>Unknown — verify</x:v>
      </x:c>
      <x:c r="W205" s="9" t="str">
        <x:v>CD-i remote/gamepad. Digital Video Cartridge not used (World of CD-i: DVC No)</x:v>
      </x:c>
      <x:c r="X205" s="9" t="str">
        <x:v>Low–Med</x:v>
      </x:c>
      <x:c r="Y205" s="9" t="str">
        <x:v>Asterix animation (verify whether film footage)</x:v>
      </x:c>
      <x:c r="Z205" s="9" t="str">
        <x:v>1–2 hr</x:v>
      </x:c>
      <x:c r="AA205" s="9" t="str">
        <x:v>A Gaulish board game with an animated intro on a French CD-i.</x:v>
      </x:c>
      <x:c r="AB205" s="9" t="str">
        <x:v>None known</x:v>
      </x:c>
      <x:c r="AC205" s="9" t="str">
        <x:v>Animated intro; World of CD-i lists 12 full-screen videos (verify whether these are this game)</x:v>
      </x:c>
      <x:c r="AD205" s="9" t="str">
        <x:v>Easy</x:v>
      </x:c>
      <x:c r="AE205" s="9" t="str">
        <x:v>Single</x:v>
      </x:c>
      <x:c r="AF205" s="9" t="str">
        <x:v>Originally made for CD-i, later ported to PC and Mac.</x:v>
      </x:c>
      <x:c r="AG205" s="9" t="str"/>
      <x:c r="AH205" s="9" t="str">
        <x:v>No</x:v>
      </x:c>
      <x:c r="AI205" s="9" t="str">
        <x:v>Easy</x:v>
      </x:c>
      <x:c r="AJ205" s="9"/>
      <x:c r="AK205" s="9" t="str">
        <x:v>World of CD-i dates 1993 (original) vs 1995 Wikipedia. Low FMV; included under the small-library rule.</x:v>
      </x:c>
      <x:c r="AL205" s="10" t="n">
        <x:v>20.72</x:v>
      </x:c>
      <x:c r="AM205" s="10" t="n">
        <x:v>45.59</x:v>
      </x:c>
      <x:c r="AN205" s="10" t="n">
        <x:v>49.25</x:v>
      </x:c>
      <x:c r="AO205" s="9" t="str">
        <x:v>2026-10-20</x:v>
      </x:c>
      <x:c r="AP205" s="11" t="str">
        <x:f>HYPERLINK("https://www.pricecharting.com/game/cd-i/asterix-caesar%27s-challenge","PriceCharting")</x:f>
        <x:v>PriceCharting</x:v>
      </x:c>
      <x:c r="AQ205" s="9"/>
      <x:c r="AR205" s="9"/>
      <x:c r="AS205" s="9"/>
      <x:c r="AT205" s="9"/>
      <x:c r="AU205" s="9"/>
      <x:c r="AV205" s="9"/>
      <x:c r="AW205" s="9"/>
      <x:c r="AX205" s="9"/>
      <x:c r="AY205" s="9"/>
      <x:c r="AZ205" s="9" t="str">
        <x:v>2.4</x:v>
      </x:c>
      <x:c r="BA205" s="11" t="str">
        <x:f>HYPERLINK("https://www.mobygames.com/game/25413/asterix-caesars-challenge/","MobyGames")</x:f>
        <x:v>MobyGames</x:v>
      </x:c>
      <x:c r="BB205" s="9"/>
      <x:c r="BC205" s="9"/>
      <x:c r="BD205" s="9"/>
      <x:c r="BE205" s="9"/>
      <x:c r="BF205" s="11" t="str">
        <x:f>HYPERLINK("https://backloggd.com/search/games/Asterix%3A%20Caesar%27s%20Challenge/","Backloggd")</x:f>
        <x:v>Backloggd</x:v>
      </x:c>
      <x:c r="BG205" s="9"/>
      <x:c r="BH205" s="9"/>
      <x:c r="BI205" s="12" t="str">
        <x:v>No</x:v>
      </x:c>
      <x:c r="BJ205" s="12" t="str"/>
      <x:c r="BK205" s="12" t="str">
        <x:v>No</x:v>
      </x:c>
      <x:c r="BL205" s="12" t="str"/>
      <x:c r="BM205" s="12" t="str"/>
      <x:c r="BN205" s="12" t="str"/>
      <x:c r="BO205" s="12" t="str"/>
      <x:c r="BP205" s="12" t="str"/>
      <x:c r="BQ205" s="12" t="str"/>
    </x:row>
    <x:row r="206">
      <x:c r="A206" s="9" t="str">
        <x:v>cdi-61</x:v>
      </x:c>
      <x:c r="B206" s="9" t="str">
        <x:v>lost-eden</x:v>
      </x:c>
      <x:c r="C206" s="9" t="str">
        <x:v>Philips CD-i</x:v>
      </x:c>
      <x:c r="D206" s="9" t="str">
        <x:v>Lost Eden</x:v>
      </x:c>
      <x:c r="E206" s="9" t="str"/>
      <x:c r="F206" s="9" t="str">
        <x:v>Cryo Interactive Entertainment (co-produced with Virgin Interactive)</x:v>
      </x:c>
      <x:c r="G206" s="9" t="str">
        <x:v>Philips Media (EU; The World of CD-i lists only European catalogue numbers)</x:v>
      </x:c>
      <x:c r="H206" s="9" t="n">
        <x:v>1995</x:v>
      </x:c>
      <x:c r="I206" s="9" t="str">
        <x:v>No</x:v>
      </x:c>
      <x:c r="J206" s="9" t="str">
        <x:v>No</x:v>
      </x:c>
      <x:c r="K206" s="9" t="str">
        <x:v>Yes</x:v>
      </x:c>
      <x:c r="L206" s="9" t="str">
        <x:v>No</x:v>
      </x:c>
      <x:c r="M206" s="9" t="str">
        <x:v>First-person adventure</x:v>
      </x:c>
      <x:c r="N206" s="9" t="str">
        <x:v>Pre-rendered CG</x:v>
      </x:c>
      <x:c r="O206" s="9" t="n">
        <x:v>5</x:v>
      </x:c>
      <x:c r="P206" s="9" t="str">
        <x:v>Pre-rendered CG</x:v>
      </x:c>
      <x:c r="Q206" s="9" t="str">
        <x:v>Released</x:v>
      </x:c>
      <x:c r="R206" s="9" t="str">
        <x:v>PC original (Cryo/Virgin, 1995)</x:v>
      </x:c>
      <x:c r="S206" s="9" t="str">
        <x:v>DOS, Macintosh, 3DO, PC-98</x:v>
      </x:c>
      <x:c r="T206" s="9" t="str">
        <x:v>—</x:v>
      </x:c>
      <x:c r="U206" s="9" t="n">
        <x:v>1</x:v>
      </x:c>
      <x:c r="V206" s="9" t="str">
        <x:v>Yes</x:v>
      </x:c>
      <x:c r="W206" s="9" t="str">
        <x:v>CD-i Digital Video Cartridge REQUIRED (listed on The World of CD-i's DVC-required list). CD-i gamepad/thumbstick or mouse.</x:v>
      </x:c>
      <x:c r="X206" s="9" t="str">
        <x:v>Low</x:v>
      </x:c>
      <x:c r="Y206" s="9" t="str"/>
      <x:c r="Z206" s="9" t="str">
        <x:v>6–10 hr</x:v>
      </x:c>
      <x:c r="AA206" s="9" t="str">
        <x:v>Cryo's lavish dinosaur-and-human epic in pre-rendered CG, running as MPEG video on a CD-i with the cartridge plugged in.</x:v>
      </x:c>
      <x:c r="AB206" s="9" t="str">
        <x:v>None known</x:v>
      </x:c>
      <x:c r="AC206" s="9" t="str">
        <x:v>MPEG-1 via the DVC; pre-rendered CG travel animations and cutscenes, full screen. A fan forum says this makes the CD-i version the best-looking one (verify). Exact resolution and frame rate not confirmed.</x:v>
      </x:c>
      <x:c r="AD206" s="9" t="str">
        <x:v>Moderate; the trouble is working out where to go, not hard puzzles</x:v>
      </x:c>
      <x:c r="AE206" s="9" t="str">
        <x:v>Linear, one ending</x:v>
      </x:c>
      <x:c r="AF206" s="9" t="str">
        <x:v>Set in a prehistoric world where humans and more than a dozen dinosaur species share four continents. Music by Stéphane Picq, who also scored Cryo's Dune (verify).</x:v>
      </x:c>
      <x:c r="AG206" s="9" t="str">
        <x:v>European release, catalogue 8100292; one disc</x:v>
      </x:c>
      <x:c r="AH206" s="9" t="str">
        <x:v>No official re-release known (verify); the PC version runs in ScummVM</x:v>
      </x:c>
      <x:c r="AI206" s="9" t="str">
        <x:v>Add-on required</x:v>
      </x:c>
      <x:c r="AJ206" s="9"/>
      <x:c r="AK206" s="9" t="str">
        <x:v>DVC requirement and Philips Media/Cryo/Virgin credits from The World of CD-i. MobyGames ranks the CD-i version about #6 among CD-i titles, with CD-i critic reviews of Superjuegos 90% and Power Unlimited 88%, but the overall CD-i average was not shown. Region: EU catalogue only seen; NA availability unconfirmed. Emulation: partial, with constant slowdown.</x:v>
      </x:c>
      <x:c r="AL206" s="10" t="n">
        <x:v>24</x:v>
      </x:c>
      <x:c r="AM206" s="10" t="n">
        <x:v>32.1</x:v>
      </x:c>
      <x:c r="AN206" s="10" t="n">
        <x:v>64</x:v>
      </x:c>
      <x:c r="AO206" s="9" t="str">
        <x:v>2026-10-20</x:v>
      </x:c>
      <x:c r="AP206" s="11" t="str">
        <x:f>HYPERLINK("https://www.pricecharting.com/game/cd-i/lost-eden","PriceCharting")</x:f>
        <x:v>PriceCharting</x:v>
      </x:c>
      <x:c r="AQ206" s="9"/>
      <x:c r="AR206" s="9"/>
      <x:c r="AS206" s="9"/>
      <x:c r="AT206" s="9"/>
      <x:c r="AU206" s="9"/>
      <x:c r="AV206" s="9"/>
      <x:c r="AW206" s="9"/>
      <x:c r="AX206" s="9"/>
      <x:c r="AY206" s="9"/>
      <x:c r="AZ206" s="9"/>
      <x:c r="BA206" s="11" t="str">
        <x:f>HYPERLINK("https://www.mobygames.com/game/1054/lost-eden/","MobyGames")</x:f>
        <x:v>MobyGames</x:v>
      </x:c>
      <x:c r="BB206" s="9" t="str">
        <x:v>89%</x:v>
      </x:c>
      <x:c r="BC206" s="9" t="str">
        <x:v>average of 1 review on Wikipedia (CD-i)</x:v>
      </x:c>
      <x:c r="BD206" s="9" t="str">
        <x:f>HYPERLINK("https://en.wikipedia.org/wiki/Lost_Eden","Source")</x:f>
        <x:v>Source</x:v>
      </x:c>
      <x:c r="BE206" s="11" t="str">
        <x:f>HYPERLINK("https://en.wikipedia.org/wiki/Lost_Eden","Wikipedia")</x:f>
        <x:v>Wikipedia</x:v>
      </x:c>
      <x:c r="BF206" s="11" t="str">
        <x:f>HYPERLINK("https://backloggd.com/search/games/Lost%20Eden/","Backloggd")</x:f>
        <x:v>Backloggd</x:v>
      </x:c>
      <x:c r="BG206" s="9"/>
      <x:c r="BH206" s="9"/>
      <x:c r="BI206" s="12" t="str">
        <x:v>No</x:v>
      </x:c>
      <x:c r="BJ206" s="12" t="str"/>
      <x:c r="BK206" s="12" t="str">
        <x:v>No</x:v>
      </x:c>
      <x:c r="BL206" s="12" t="str"/>
      <x:c r="BM206" s="12" t="str"/>
      <x:c r="BN206" s="12" t="str"/>
      <x:c r="BO206" s="12" t="str"/>
      <x:c r="BP206" s="12" t="str"/>
      <x:c r="BQ206" s="12" t="str"/>
    </x:row>
    <x:row r="207">
      <x:c r="A207" s="9" t="str">
        <x:v>cdi-62</x:v>
      </x:c>
      <x:c r="B207" s="9" t="str">
        <x:v>monty-pythons-invasion-from-the-planet-skyron</x:v>
      </x:c>
      <x:c r="C207" s="9" t="str">
        <x:v>Philips CD-i</x:v>
      </x:c>
      <x:c r="D207" s="9" t="str">
        <x:v>Monty Python's Invasion from the Planet Skyron</x:v>
      </x:c>
      <x:c r="E207" s="9" t="str"/>
      <x:c r="F207" s="9" t="str">
        <x:v>Dædalus CD-i Productions</x:v>
      </x:c>
      <x:c r="G207" s="9" t="str">
        <x:v>Philips Interactive Media Benelux (EU)</x:v>
      </x:c>
      <x:c r="H207" s="9" t="n">
        <x:v>1995</x:v>
      </x:c>
      <x:c r="I207" s="9" t="str">
        <x:v>No</x:v>
      </x:c>
      <x:c r="J207" s="9" t="str">
        <x:v>No</x:v>
      </x:c>
      <x:c r="K207" s="9" t="str">
        <x:v>Yes</x:v>
      </x:c>
      <x:c r="L207" s="9" t="str">
        <x:v>No</x:v>
      </x:c>
      <x:c r="M207" s="9" t="str">
        <x:v>Comedy action/puzzle 'interactive variety show'</x:v>
      </x:c>
      <x:c r="N207" s="9" t="str">
        <x:v>Live-action</x:v>
      </x:c>
      <x:c r="O207" s="9" t="n">
        <x:v>5</x:v>
      </x:c>
      <x:c r="P207" s="9" t="str">
        <x:v>FMV adventure</x:v>
      </x:c>
      <x:c r="Q207" s="9" t="str">
        <x:v>Released</x:v>
      </x:c>
      <x:c r="R207" s="9" t="str">
        <x:v>Monty Python's Flying Circus TV sketches (BBC) plus original game framework</x:v>
      </x:c>
      <x:c r="S207" s="9" t="str">
        <x:v>CD-i only</x:v>
      </x:c>
      <x:c r="T207" s="9" t="str">
        <x:v>Monty Python (Graham Chapman, John Cleese, Terry Gilliam, Eric Idle, Terry Jones, Michael Palin) via archive sketches; Terry Gilliam artwork and animation</x:v>
      </x:c>
      <x:c r="U207" s="9" t="n">
        <x:v>1</x:v>
      </x:c>
      <x:c r="V207" s="9" t="str">
        <x:v>Unknown — verify</x:v>
      </x:c>
      <x:c r="W207" s="9" t="str">
        <x:v>CD-i Digital Video Cartridge REQUIRED (on The World of CD-i's DVC-required list; without it the disc stops at a DVC warning). CD-i gamepad/mouse.</x:v>
      </x:c>
      <x:c r="X207" s="9" t="str">
        <x:v>HIGH</x:v>
      </x:c>
      <x:c r="Y207" s="9" t="str">
        <x:v>Monty Python's Flying Circus sketch footage and Python music (BBC / Python (Monty) Pictures)</x:v>
      </x:c>
      <x:c r="Z207" s="9" t="str">
        <x:v>1–2 hr</x:v>
      </x:c>
      <x:c r="AA207" s="9" t="str">
        <x:v>A Python-licensed CD-i oddity: lead the Lost Boys through nine levels, with real Flying Circus sketches as the reward screens.</x:v>
      </x:c>
      <x:c r="AB207" s="9" t="str">
        <x:v>None known</x:v>
      </x:c>
      <x:c r="AC207" s="9" t="str">
        <x:v>MPEG-1 via the DVC; Flying Circus sketches shown between levels plus Gilliam-style animation. Exact window size not confirmed (verify).</x:v>
      </x:c>
      <x:c r="AD207" s="9" t="str">
        <x:v>Easy to moderate; click-to-trigger outcomes, with a sheep tracking the score</x:v>
      </x:c>
      <x:c r="AE207" s="9" t="str">
        <x:v>Linear through nine levels, one ending</x:v>
      </x:c>
      <x:c r="AF207" s="9" t="str">
        <x:v>Billed as an 'interactive variety show'; includes mini-games such as memory and 'guess the sketch'. Eric Idle's MobyGames credits list this title.</x:v>
      </x:c>
      <x:c r="AG207" s="9" t="str">
        <x:v>Released in the UK, France, Germany and the Netherlands</x:v>
      </x:c>
      <x:c r="AH207" s="9" t="str">
        <x:v>No</x:v>
      </x:c>
      <x:c r="AI207" s="9" t="str">
        <x:v>Add-on required</x:v>
      </x:c>
      <x:c r="AJ207" s="9"/>
      <x:c r="AK207" s="9" t="str">
        <x:v>MobyGames shows a 78% critic average from two ratings and 3.7/5 from one player rating. The game is CD-i only, so these are CD-i scores. Emulators stop at the DVC error. Category is a judgement call: a click-and-trigger action game with sketch video between levels.</x:v>
      </x:c>
      <x:c r="AL207" s="10" t="n">
        <x:v>20</x:v>
      </x:c>
      <x:c r="AM207" s="10" t="n">
        <x:v>65</x:v>
      </x:c>
      <x:c r="AN207" s="10" t="n">
        <x:v>130</x:v>
      </x:c>
      <x:c r="AO207" s="9" t="str">
        <x:v>2026-10-20</x:v>
      </x:c>
      <x:c r="AP207" s="11" t="str">
        <x:f>HYPERLINK("https://www.pricecharting.com/game/cd-i/monty-python%27s-invasion-from-the-planet-skyron","PriceCharting")</x:f>
        <x:v>PriceCharting</x:v>
      </x:c>
      <x:c r="AQ207" s="9"/>
      <x:c r="AR207" s="9"/>
      <x:c r="AS207" s="9"/>
      <x:c r="AT207" s="9"/>
      <x:c r="AU207" s="9"/>
      <x:c r="AV207" s="9"/>
      <x:c r="AW207" s="9"/>
      <x:c r="AX207" s="9"/>
      <x:c r="AY207" s="9" t="str">
        <x:v>78%</x:v>
      </x:c>
      <x:c r="AZ207" s="9" t="str">
        <x:v>3.7</x:v>
      </x:c>
      <x:c r="BA207" s="11" t="str">
        <x:f>HYPERLINK("https://www.mobygames.com/game/39671/monty-pythons-invasion-from-the-planet-skyron/","MobyGames")</x:f>
        <x:v>MobyGames</x:v>
      </x:c>
      <x:c r="BB207" s="9"/>
      <x:c r="BC207" s="9"/>
      <x:c r="BD207" s="9"/>
      <x:c r="BE207" s="9"/>
      <x:c r="BF207" s="11" t="str">
        <x:f>HYPERLINK("https://backloggd.com/search/games/Monty%20Python%27s%20Invasion%20from%20the%20Planet%20Skyron/","Backloggd")</x:f>
        <x:v>Backloggd</x:v>
      </x:c>
      <x:c r="BG207" s="9"/>
      <x:c r="BH207" s="9"/>
      <x:c r="BI207" s="12" t="str">
        <x:v>No</x:v>
      </x:c>
      <x:c r="BJ207" s="12" t="str"/>
      <x:c r="BK207" s="12" t="str">
        <x:v>No</x:v>
      </x:c>
      <x:c r="BL207" s="12" t="str"/>
      <x:c r="BM207" s="12" t="str"/>
      <x:c r="BN207" s="12" t="str"/>
      <x:c r="BO207" s="12" t="str"/>
      <x:c r="BP207" s="12" t="str"/>
      <x:c r="BQ207" s="12" t="str"/>
    </x:row>
    <x:row r="208">
      <x:c r="A208" s="9" t="str">
        <x:v>cdi-63</x:v>
      </x:c>
      <x:c r="B208" s="9" t="str">
        <x:v>the-flintstones-and-the-jetsons-time-warp</x:v>
      </x:c>
      <x:c r="C208" s="9" t="str">
        <x:v>Philips CD-i</x:v>
      </x:c>
      <x:c r="D208" s="9" t="str">
        <x:v>The Flintstones &amp; The Jetsons: Time Warp</x:v>
      </x:c>
      <x:c r="E208" s="9" t="str">
        <x:v>Flintstones Jetsons: Timewarp</x:v>
      </x:c>
      <x:c r="F208" s="9" t="str">
        <x:v>R/GA Interactive (R/Greenberg Associates)</x:v>
      </x:c>
      <x:c r="G208" s="9" t="str">
        <x:v>Philips Media (NA/EU)</x:v>
      </x:c>
      <x:c r="H208" s="9" t="n">
        <x:v>1994</x:v>
      </x:c>
      <x:c r="I208" s="9" t="str">
        <x:v>Yes</x:v>
      </x:c>
      <x:c r="J208" s="9" t="str">
        <x:v>No</x:v>
      </x:c>
      <x:c r="K208" s="9" t="str">
        <x:v>Yes</x:v>
      </x:c>
      <x:c r="L208" s="9" t="str">
        <x:v>No</x:v>
      </x:c>
      <x:c r="M208" s="9" t="str">
        <x:v>Kids' animated adventure</x:v>
      </x:c>
      <x:c r="N208" s="9" t="str">
        <x:v>Animated</x:v>
      </x:c>
      <x:c r="O208" s="9" t="n">
        <x:v>5</x:v>
      </x:c>
      <x:c r="P208" s="9" t="str">
        <x:v>FMV adventure</x:v>
      </x:c>
      <x:c r="Q208" s="9" t="str">
        <x:v>Released</x:v>
      </x:c>
      <x:c r="R208" s="9" t="str">
        <x:v>Hanna-Barbera licence; original production</x:v>
      </x:c>
      <x:c r="S208" s="9" t="str">
        <x:v>CD-i only</x:v>
      </x:c>
      <x:c r="T208" s="9" t="str">
        <x:v>Jeff Bergman, Jo Hayden (voices)</x:v>
      </x:c>
      <x:c r="U208" s="9" t="n">
        <x:v>1</x:v>
      </x:c>
      <x:c r="V208" s="9" t="str">
        <x:v>Unknown — verify</x:v>
      </x:c>
      <x:c r="W208" s="9" t="str">
        <x:v>CD-i Digital Video Cartridge NOT USED (The World of CD-i lists DVC: No). CD-i gamepad.</x:v>
      </x:c>
      <x:c r="X208" s="9" t="str">
        <x:v>Med</x:v>
      </x:c>
      <x:c r="Y208" s="9" t="str">
        <x:v>Hanna-Barbera characters and possibly the Flintstones/Jetsons theme music (verify)</x:v>
      </x:c>
      <x:c r="Z208" s="9" t="str">
        <x:v>1–2 hr (verify)</x:v>
      </x:c>
      <x:c r="AA208" s="9" t="str">
        <x:v>Fred and George swap eras in a fully animated CD-i cartoon adventure made by the effects house R/GA.</x:v>
      </x:c>
      <x:c r="AB208" s="9" t="str">
        <x:v>None known</x:v>
      </x:c>
      <x:c r="AC208" s="9" t="str">
        <x:v>Streamed cartoon animation played with base-case CD-i video, without MPEG. Window size and frame rate not confirmed (verify).</x:v>
      </x:c>
      <x:c r="AD208" s="9" t="str">
        <x:v>Easy (kids' title)</x:v>
      </x:c>
      <x:c r="AE208" s="9" t="str">
        <x:v>Unknown — verify</x:v>
      </x:c>
      <x:c r="AF208" s="9" t="str">
        <x:v>Made by R/Greenberg Associates' interactive arm, the New York effects house; Susan Brand directed the art and animation and Russell Calabrese was key character animator.</x:v>
      </x:c>
      <x:c r="AG208" s="9" t="str">
        <x:v>NA and EU catalogue numbers</x:v>
      </x:c>
      <x:c r="AH208" s="9" t="str">
        <x:v>No</x:v>
      </x:c>
      <x:c r="AI208" s="9" t="str">
        <x:v>Easy</x:v>
      </x:c>
      <x:c r="AJ208" s="9"/>
      <x:c r="AK208" s="9" t="str">
        <x:v>The publisher's blurb ('you make the choices and animated surprises are sure to follow') suggests that choice-triggered animated sequences are the core of the game. fmv 5 is an estimate (verify by watching a playthrough). MobyGames shows one critic score of 80%; the game is CD-i only.</x:v>
      </x:c>
      <x:c r="AL208" s="10" t="n">
        <x:v>19.49</x:v>
      </x:c>
      <x:c r="AM208" s="10" t="n">
        <x:v>36.89</x:v>
      </x:c>
      <x:c r="AN208" s="10" t="n">
        <x:v>51.31</x:v>
      </x:c>
      <x:c r="AO208" s="9" t="str">
        <x:v>2026-10-20</x:v>
      </x:c>
      <x:c r="AP208" s="11" t="str">
        <x:f>HYPERLINK("https://www.pricecharting.com/game/cd-i/the-flintstones-&amp;-the-jetsons-time-warp","PriceCharting")</x:f>
        <x:v>PriceCharting</x:v>
      </x:c>
      <x:c r="AQ208" s="9"/>
      <x:c r="AR208" s="9"/>
      <x:c r="AS208" s="9"/>
      <x:c r="AT208" s="9"/>
      <x:c r="AU208" s="9"/>
      <x:c r="AV208" s="9"/>
      <x:c r="AW208" s="9"/>
      <x:c r="AX208" s="9"/>
      <x:c r="AY208" s="9" t="str">
        <x:v>80%</x:v>
      </x:c>
      <x:c r="AZ208" s="9"/>
      <x:c r="BA208" s="11" t="str">
        <x:f>HYPERLINK("https://www.mobygames.com/game/39780/flintstones-jetsons-timewarp/","MobyGames")</x:f>
        <x:v>MobyGames</x:v>
      </x:c>
      <x:c r="BB208" s="9"/>
      <x:c r="BC208" s="9"/>
      <x:c r="BD208" s="9"/>
      <x:c r="BE208" s="9"/>
      <x:c r="BF208" s="11" t="str">
        <x:f>HYPERLINK("https://backloggd.com/search/games/The%20Flintstones%20%26%20The%20Jetsons%3A%20Time%20Warp/","Backloggd")</x:f>
        <x:v>Backloggd</x:v>
      </x:c>
      <x:c r="BG208" s="9"/>
      <x:c r="BH208" s="9"/>
      <x:c r="BI208" s="12" t="str">
        <x:v>No</x:v>
      </x:c>
      <x:c r="BJ208" s="12" t="str"/>
      <x:c r="BK208" s="12" t="str">
        <x:v>No</x:v>
      </x:c>
      <x:c r="BL208" s="12" t="str"/>
      <x:c r="BM208" s="12" t="str"/>
      <x:c r="BN208" s="12" t="str"/>
      <x:c r="BO208" s="12" t="str"/>
      <x:c r="BP208" s="12" t="str"/>
      <x:c r="BQ208" s="12" t="str"/>
    </x:row>
    <x:row r="209">
      <x:c r="A209" s="9" t="str">
        <x:v>cdi-64</x:v>
      </x:c>
      <x:c r="B209" s="9" t="str">
        <x:v>morlov-affair</x:v>
      </x:c>
      <x:c r="C209" s="9" t="str">
        <x:v>Philips CD-i</x:v>
      </x:c>
      <x:c r="D209" s="9" t="str">
        <x:v>Morlov Affair</x:v>
      </x:c>
      <x:c r="E209" s="9" t="str">
        <x:v>L'Affaire Morlov; The Morlov Affair</x:v>
      </x:c>
      <x:c r="F209" s="9" t="str">
        <x:v>CPIO Multimédia</x:v>
      </x:c>
      <x:c r="G209" s="9" t="str">
        <x:v>Titus France (FR), Titus Ltd (UK)</x:v>
      </x:c>
      <x:c r="H209" s="9" t="n">
        <x:v>1996</x:v>
      </x:c>
      <x:c r="I209" s="9" t="str">
        <x:v>No</x:v>
      </x:c>
      <x:c r="J209" s="9" t="str">
        <x:v>No</x:v>
      </x:c>
      <x:c r="K209" s="9" t="str">
        <x:v>Yes</x:v>
      </x:c>
      <x:c r="L209" s="9" t="str">
        <x:v>No</x:v>
      </x:c>
      <x:c r="M209" s="9" t="str">
        <x:v>FMV spy thriller adventure</x:v>
      </x:c>
      <x:c r="N209" s="9" t="str">
        <x:v>Live-action</x:v>
      </x:c>
      <x:c r="O209" s="9" t="n">
        <x:v>7</x:v>
      </x:c>
      <x:c r="P209" s="9" t="str">
        <x:v>FMV adventure</x:v>
      </x:c>
      <x:c r="Q209" s="9" t="str">
        <x:v>Released</x:v>
      </x:c>
      <x:c r="R209" s="9" t="str">
        <x:v>Original production (French PC/CD-i FMV game)</x:v>
      </x:c>
      <x:c r="S209" s="9" t="str">
        <x:v>DOS, Windows 3.x</x:v>
      </x:c>
      <x:c r="T209" s="9" t="str">
        <x:v>Patrick Delaunay (Paul Keirn), Caroline Sury (Virginie), Frédéric Millet (Morlov), Georges Cordier, Ourida Timhadjelt</x:v>
      </x:c>
      <x:c r="U209" s="9" t="n">
        <x:v>1</x:v>
      </x:c>
      <x:c r="V209" s="9" t="str">
        <x:v>Unknown — verify</x:v>
      </x:c>
      <x:c r="W209" s="9" t="str">
        <x:v>CD-i Digital Video Cartridge NOT USED (The World of CD-i lists DVC: No). CD-i gamepad.</x:v>
      </x:c>
      <x:c r="X209" s="9" t="str">
        <x:v>Low</x:v>
      </x:c>
      <x:c r="Y209" s="9" t="str"/>
      <x:c r="Z209" s="9" t="str">
        <x:v>2–4 hr (verify)</x:v>
      </x:c>
      <x:c r="AA209" s="9" t="str">
        <x:v>A French live-action conspiracy thriller with a 48-hour clock, adult scenes and a framed journalist, on CD-i without the MPEG cartridge.</x:v>
      </x:c>
      <x:c r="AB209" s="9" t="str">
        <x:v>None known</x:v>
      </x:c>
      <x:c r="AC209" s="9" t="str">
        <x:v>Live-action video using base-case CD-i playback (no DVC), so expect a reduced window or frame rate (verify)</x:v>
      </x:c>
      <x:c r="AD209" s="9" t="str">
        <x:v>Logical puzzles 'on the easy side' but a clumsy interface, per a PC-version review (verify for CD-i); 48-hour game-time limit</x:v>
      </x:c>
      <x:c r="AE209" s="9" t="str">
        <x:v>Unknown — verify; likely game-over branches when the clock runs out</x:v>
      </x:c>
      <x:c r="AF209" s="9" t="str">
        <x:v>You play Paul Keirn, a journalist for the newspaper Libération, framed for murder while your girlfriend Virginie is kidnapped. Sources disagree on 45 or 48 hours.</x:v>
      </x:c>
      <x:c r="AG209" s="9" t="str">
        <x:v>French 'L'Affaire Morlov' and UK 'The Morlov Affair' releases (verify the UK CD-i box)</x:v>
      </x:c>
      <x:c r="AH209" s="9" t="str">
        <x:v>No</x:v>
      </x:c>
      <x:c r="AI209" s="9" t="str">
        <x:v>Expensive</x:v>
      </x:c>
      <x:c r="AJ209" s="9"/>
      <x:c r="AK209" s="9" t="str">
        <x:v>MobyGames tags the game full-motion video and notes some adult scenes, so check them before YouTube upload. The cast list comes from MobyGames' Windows credits; same production assumed. Year: MobyGames 1996, World of CD-i 1995 (verify). How the video is shown without a DVC is unconfirmed. The emulator runs it with limited play. Contains adult scenes; kept because it is a game rather than a video disc, but check before recording.</x:v>
      </x:c>
      <x:c r="AL209" s="10" t="n">
        <x:v>147.99</x:v>
      </x:c>
      <x:c r="AM209" s="10" t="n">
        <x:v>325.58</x:v>
      </x:c>
      <x:c r="AN209" s="10" t="n">
        <x:v>665.96</x:v>
      </x:c>
      <x:c r="AO209" s="9" t="str">
        <x:v>2026-10-20</x:v>
      </x:c>
      <x:c r="AP209" s="11" t="str">
        <x:f>HYPERLINK("https://www.pricecharting.com/game/cd-i/morlov-affair","PriceCharting")</x:f>
        <x:v>PriceCharting</x:v>
      </x:c>
      <x:c r="AQ209" s="9"/>
      <x:c r="AR209" s="9"/>
      <x:c r="AS209" s="9"/>
      <x:c r="AT209" s="9"/>
      <x:c r="AU209" s="9"/>
      <x:c r="AV209" s="9"/>
      <x:c r="AW209" s="9"/>
      <x:c r="AX209" s="9"/>
      <x:c r="AY209" s="9"/>
      <x:c r="AZ209" s="9"/>
      <x:c r="BA209" s="11" t="str">
        <x:f>HYPERLINK("https://www.mobygames.com/game/21936/the-morlov-affair/","MobyGames")</x:f>
        <x:v>MobyGames</x:v>
      </x:c>
      <x:c r="BB209" s="9"/>
      <x:c r="BC209" s="9"/>
      <x:c r="BD209" s="9"/>
      <x:c r="BE209" s="9"/>
      <x:c r="BF209" s="11" t="str">
        <x:f>HYPERLINK("https://backloggd.com/search/games/Morlov%20Affair/","Backloggd")</x:f>
        <x:v>Backloggd</x:v>
      </x:c>
      <x:c r="BG209" s="9"/>
      <x:c r="BH209" s="9"/>
      <x:c r="BI209" s="12" t="str">
        <x:v>No</x:v>
      </x:c>
      <x:c r="BJ209" s="12" t="str"/>
      <x:c r="BK209" s="12" t="str">
        <x:v>No</x:v>
      </x:c>
      <x:c r="BL209" s="12" t="str"/>
      <x:c r="BM209" s="12" t="str"/>
      <x:c r="BN209" s="12" t="str"/>
      <x:c r="BO209" s="12" t="str"/>
      <x:c r="BP209" s="12" t="str"/>
      <x:c r="BQ209" s="12" t="str"/>
    </x:row>
    <x:row r="210">
      <x:c r="A210" s="9" t="str">
        <x:v>cdi-65</x:v>
      </x:c>
      <x:c r="B210" s="9" t="str">
        <x:v>space-ranger-alpha</x:v>
      </x:c>
      <x:c r="C210" s="9" t="str">
        <x:v>Philips CD-i</x:v>
      </x:c>
      <x:c r="D210" s="9" t="str">
        <x:v>Space Ranger: Alpha</x:v>
      </x:c>
      <x:c r="E210" s="9" t="str">
        <x:v>Space Ranger</x:v>
      </x:c>
      <x:c r="F210" s="9" t="str">
        <x:v>Studio Interactive (per GameFAQs and The World of CD-i; published by OlderGames)</x:v>
      </x:c>
      <x:c r="G210" s="9" t="str">
        <x:v>OlderGames (2002, catalogue OGCDI1180)</x:v>
      </x:c>
      <x:c r="H210" s="9" t="n">
        <x:v>2002</x:v>
      </x:c>
      <x:c r="I210" s="9" t="str">
        <x:v>Yes</x:v>
      </x:c>
      <x:c r="J210" s="9" t="str">
        <x:v>No</x:v>
      </x:c>
      <x:c r="K210" s="9" t="str">
        <x:v>No</x:v>
      </x:c>
      <x:c r="L210" s="9" t="str">
        <x:v>No</x:v>
      </x:c>
      <x:c r="M210" s="9" t="str">
        <x:v>Arcade (space shooter — verify)</x:v>
      </x:c>
      <x:c r="N210" s="9" t="str">
        <x:v>Pre-rendered CG</x:v>
      </x:c>
      <x:c r="O210" s="9" t="n">
        <x:v>2</x:v>
      </x:c>
      <x:c r="P210" s="9" t="str">
        <x:v>Post-cancellation release</x:v>
      </x:c>
      <x:c r="Q210" s="9" t="str">
        <x:v>Released post-cancellation</x:v>
      </x:c>
      <x:c r="R210" s="9" t="str">
        <x:v>Cancelled 1990s CD-i game, released by OlderGames as an alpha build</x:v>
      </x:c>
      <x:c r="S210" s="9" t="str">
        <x:v>CD-i only</x:v>
      </x:c>
      <x:c r="T210" s="9" t="str">
        <x:v>—</x:v>
      </x:c>
      <x:c r="U210" s="9" t="n">
        <x:v>1</x:v>
      </x:c>
      <x:c r="V210" s="9" t="str">
        <x:v>Unknown — verify</x:v>
      </x:c>
      <x:c r="W210" s="9" t="str">
        <x:v>CD-i Digital Video Cartridge OPTIONAL (on The World of CD-i's DVC-optional list, homebrew section; some features need the DVC). CD-i gamepad.</x:v>
      </x:c>
      <x:c r="X210" s="9" t="str">
        <x:v>Low</x:v>
      </x:c>
      <x:c r="Y210" s="9" t="str"/>
      <x:c r="Z210" s="9" t="str">
        <x:v>Under 30 min (alpha build — verify)</x:v>
      </x:c>
      <x:c r="AA210" s="9" t="str">
        <x:v>A much-hyped CD-i game that never got past alpha, pressed and sold years later by OlderGames.</x:v>
      </x:c>
      <x:c r="AB210" s="9" t="str">
        <x:v>None known</x:v>
      </x:c>
      <x:c r="AC210" s="9" t="str">
        <x:v>Unknown — verify; the DVC-optional flag suggests MPEG sequences that play only with the cartridge</x:v>
      </x:c>
      <x:c r="AD210" s="9" t="str">
        <x:v>Unknown — verify</x:v>
      </x:c>
      <x:c r="AE210" s="9" t="str">
        <x:v>Unfinished alpha; no proper ending expected (verify)</x:v>
      </x:c>
      <x:c r="AF210" s="9" t="str">
        <x:v>The World of CD-i calls it a 'much anticipated title that never went past this very Alpha phase'.</x:v>
      </x:c>
      <x:c r="AG210" s="9" t="str">
        <x:v>OlderGames release only (limited run — verify)</x:v>
      </x:c>
      <x:c r="AH210" s="9" t="str">
        <x:v>No</x:v>
      </x:c>
      <x:c r="AI210" s="9" t="str">
        <x:v>Easy</x:v>
      </x:c>
      <x:c r="AJ210" s="9"/>
      <x:c r="AK210" s="9" t="str">
        <x:v>Released status is shaky: the World of CD-i encyclopedia lists an OlderGames 2002 release, while its DVC page files it under homebrew. Video content is unconfirmed. fmv 2 rests only on the DVC-optional flag; set it to 0 if a playthrough shows no MPEG (verify). Region of the OlderGames release is assumed NA (verify).</x:v>
      </x:c>
      <x:c r="AL210" s="10" t="n">
        <x:v>29.99</x:v>
      </x:c>
      <x:c r="AM210" s="10" t="n">
        <x:v>65.98</x:v>
      </x:c>
      <x:c r="AN210" s="10" t="n">
        <x:v>134.96</x:v>
      </x:c>
      <x:c r="AO210" s="9" t="str">
        <x:v>2026-10-20</x:v>
      </x:c>
      <x:c r="AP210" s="11" t="str">
        <x:f>HYPERLINK("https://www.pricecharting.com/game/cd-i/space-ranger-alpha","PriceCharting")</x:f>
        <x:v>PriceCharting</x:v>
      </x:c>
      <x:c r="AQ210" s="9"/>
      <x:c r="AR210" s="9"/>
      <x:c r="AS210" s="9"/>
      <x:c r="AT210" s="9"/>
      <x:c r="AU210" s="9"/>
      <x:c r="AV210" s="9"/>
      <x:c r="AW210" s="9"/>
      <x:c r="AX210" s="9"/>
      <x:c r="AY210" s="9"/>
      <x:c r="AZ210" s="9"/>
      <x:c r="BA210" s="11" t="str">
        <x:f>HYPERLINK("https://www.mobygames.com/search/?q=Space+Ranger%3A+Alpha","MobyGames")</x:f>
        <x:v>MobyGames</x:v>
      </x:c>
      <x:c r="BB210" s="9"/>
      <x:c r="BC210" s="9"/>
      <x:c r="BD210" s="9"/>
      <x:c r="BE210" s="9"/>
      <x:c r="BF210" s="11" t="str">
        <x:f>HYPERLINK("https://backloggd.com/search/games/Space%20Ranger%3A%20Alpha/","Backloggd")</x:f>
        <x:v>Backloggd</x:v>
      </x:c>
      <x:c r="BG210" s="9"/>
      <x:c r="BH210" s="9"/>
      <x:c r="BI210" s="12" t="str">
        <x:v>No</x:v>
      </x:c>
      <x:c r="BJ210" s="12" t="str"/>
      <x:c r="BK210" s="12" t="str">
        <x:v>No</x:v>
      </x:c>
      <x:c r="BL210" s="12" t="str"/>
      <x:c r="BM210" s="12" t="str"/>
      <x:c r="BN210" s="12" t="str"/>
      <x:c r="BO210" s="12" t="str"/>
      <x:c r="BP210" s="12" t="str"/>
      <x:c r="BQ210" s="12" t="str"/>
    </x:row>
    <x:row r="211">
      <x:c r="A211" s="9" t="str">
        <x:v>cdi-66</x:v>
      </x:c>
      <x:c r="B211" s="9" t="str">
        <x:v>ultra-cd-i-soccer</x:v>
      </x:c>
      <x:c r="C211" s="9" t="str">
        <x:v>Philips CD-i</x:v>
      </x:c>
      <x:c r="D211" s="9" t="str">
        <x:v>Ultra CD-i Soccer</x:v>
      </x:c>
      <x:c r="E211" s="9" t="str"/>
      <x:c r="F211" s="9" t="str">
        <x:v>Krisalis Software</x:v>
      </x:c>
      <x:c r="G211" s="9" t="str">
        <x:v>Philips Media (EU)</x:v>
      </x:c>
      <x:c r="H211" s="9" t="n">
        <x:v>1997</x:v>
      </x:c>
      <x:c r="I211" s="9" t="str">
        <x:v>No</x:v>
      </x:c>
      <x:c r="J211" s="9" t="str">
        <x:v>No</x:v>
      </x:c>
      <x:c r="K211" s="9" t="str">
        <x:v>Yes</x:v>
      </x:c>
      <x:c r="L211" s="9" t="str">
        <x:v>No</x:v>
      </x:c>
      <x:c r="M211" s="9" t="str">
        <x:v>Soccer</x:v>
      </x:c>
      <x:c r="N211" s="9" t="str">
        <x:v>Live-action + CG</x:v>
      </x:c>
      <x:c r="O211" s="9" t="n">
        <x:v>2</x:v>
      </x:c>
      <x:c r="P211" s="9" t="str">
        <x:v>Sports w/ FMV</x:v>
      </x:c>
      <x:c r="Q211" s="9" t="str">
        <x:v>Released</x:v>
      </x:c>
      <x:c r="R211" s="9" t="str">
        <x:v>Original production</x:v>
      </x:c>
      <x:c r="S211" s="9" t="str">
        <x:v>CD-i only</x:v>
      </x:c>
      <x:c r="T211" s="9" t="str">
        <x:v>—</x:v>
      </x:c>
      <x:c r="U211" s="9" t="n">
        <x:v>1</x:v>
      </x:c>
      <x:c r="V211" s="9" t="str">
        <x:v>Unknown — verify</x:v>
      </x:c>
      <x:c r="W211" s="9" t="str">
        <x:v>CD-i Digital Video Cartridge REQUIRED (World of CD-i entry and DVC-required list; also in TCRF's DVC games category). CD-i gamepad; 2 players head-to-head.</x:v>
      </x:c>
      <x:c r="X211" s="9" t="str">
        <x:v>Low–Med</x:v>
      </x:c>
      <x:c r="Y211" s="9" t="str">
        <x:v>Possible stadium/crowd footage (verify)</x:v>
      </x:c>
      <x:c r="Z211" s="9" t="str">
        <x:v>Open-ended (a 30–60 min tournament run)</x:v>
      </x:c>
      <x:c r="AA211" s="9" t="str">
        <x:v>One of the last CD-i games, a Krisalis soccer title that won't boot without the MPEG cartridge.</x:v>
      </x:c>
      <x:c r="AB211" s="9" t="str">
        <x:v>A hidden password unlocks three extra cheat teams (documented on TCRF); input not confirmed here (verify)</x:v>
      </x:c>
      <x:c r="AC211" s="9" t="str">
        <x:v>MPEG-1 via the DVC; what the video shows (intro, goal or crowd clips) is not confirmed (verify)</x:v>
      </x:c>
      <x:c r="AD211" s="9" t="str">
        <x:v>Moderate</x:v>
      </x:c>
      <x:c r="AE211" s="9" t="str">
        <x:v>N/A (competition modes)</x:v>
      </x:c>
      <x:c r="AF211" s="9" t="str">
        <x:v>TCRF documents unused characters, hidden cheat teams and leftover developer text on the disc.</x:v>
      </x:c>
      <x:c r="AG211" s="9" t="str">
        <x:v>EU catalogue 8100220</x:v>
      </x:c>
      <x:c r="AH211" s="9" t="str">
        <x:v>No</x:v>
      </x:c>
      <x:c r="AI211" s="9" t="str">
        <x:v>Add-on required</x:v>
      </x:c>
      <x:c r="AJ211" s="9"/>
      <x:c r="AK211" s="9" t="str">
        <x:v>The DVC requirement is solid. The actual video content was not confirmed by any snippet, so fmv 2 is an estimate (verify). 72 European club teams; custom competitions of up to four teams.</x:v>
      </x:c>
      <x:c r="AL211" s="10" t="n">
        <x:v>47.5</x:v>
      </x:c>
      <x:c r="AM211" s="10" t="n">
        <x:v>104.5</x:v>
      </x:c>
      <x:c r="AN211" s="10" t="n">
        <x:v>213.75</x:v>
      </x:c>
      <x:c r="AO211" s="9" t="str">
        <x:v>2026-10-20</x:v>
      </x:c>
      <x:c r="AP211" s="11" t="str">
        <x:f>HYPERLINK("https://www.pricecharting.com/game/cd-i/ultra-cd-i-soccer","PriceCharting")</x:f>
        <x:v>PriceCharting</x:v>
      </x:c>
      <x:c r="AQ211" s="9"/>
      <x:c r="AR211" s="9"/>
      <x:c r="AS211" s="9"/>
      <x:c r="AT211" s="9"/>
      <x:c r="AU211" s="9"/>
      <x:c r="AV211" s="9"/>
      <x:c r="AW211" s="9"/>
      <x:c r="AX211" s="9"/>
      <x:c r="AY211" s="9"/>
      <x:c r="AZ211" s="9"/>
      <x:c r="BA211" s="11" t="str">
        <x:f>HYPERLINK("https://www.mobygames.com/game/40206/ultra-cd-i-soccer/","MobyGames")</x:f>
        <x:v>MobyGames</x:v>
      </x:c>
      <x:c r="BB211" s="9"/>
      <x:c r="BC211" s="9"/>
      <x:c r="BD211" s="9"/>
      <x:c r="BE211" s="9"/>
      <x:c r="BF211" s="11" t="str">
        <x:f>HYPERLINK("https://backloggd.com/search/games/Ultra%20CD-i%20Soccer/","Backloggd")</x:f>
        <x:v>Backloggd</x:v>
      </x:c>
      <x:c r="BG211" s="9"/>
      <x:c r="BH211" s="9"/>
      <x:c r="BI211" s="12" t="str">
        <x:v>No</x:v>
      </x:c>
      <x:c r="BJ211" s="12" t="str"/>
      <x:c r="BK211" s="12" t="str">
        <x:v>No</x:v>
      </x:c>
      <x:c r="BL211" s="12" t="str"/>
      <x:c r="BM211" s="12" t="str"/>
      <x:c r="BN211" s="12" t="str"/>
      <x:c r="BO211" s="12" t="str"/>
      <x:c r="BP211" s="12" t="str"/>
      <x:c r="BQ211" s="12" t="str"/>
    </x:row>
    <x:row r="212">
      <x:c r="A212" s="9" t="str">
        <x:v>cdi-67</x:v>
      </x:c>
      <x:c r="B212" s="9" t="str">
        <x:v>micro-machines</x:v>
      </x:c>
      <x:c r="C212" s="9" t="str">
        <x:v>Philips CD-i</x:v>
      </x:c>
      <x:c r="D212" s="9" t="str">
        <x:v>Micro Machines</x:v>
      </x:c>
      <x:c r="E212" s="9" t="str"/>
      <x:c r="F212" s="9" t="str">
        <x:v>Codemasters; cutscenes by Altered Images</x:v>
      </x:c>
      <x:c r="G212" s="9" t="str">
        <x:v>Philips Interactive Media (NA); Codemasters, distributed by Philips (EU)</x:v>
      </x:c>
      <x:c r="H212" s="9" t="n">
        <x:v>1995</x:v>
      </x:c>
      <x:c r="I212" s="9" t="str">
        <x:v>No</x:v>
      </x:c>
      <x:c r="J212" s="9" t="str">
        <x:v>No</x:v>
      </x:c>
      <x:c r="K212" s="9" t="str">
        <x:v>Yes</x:v>
      </x:c>
      <x:c r="L212" s="9" t="str">
        <x:v>No</x:v>
      </x:c>
      <x:c r="M212" s="9" t="str">
        <x:v>Top-down racing</x:v>
      </x:c>
      <x:c r="N212" s="9" t="str">
        <x:v>Pre-rendered CG</x:v>
      </x:c>
      <x:c r="O212" s="9" t="n">
        <x:v>2</x:v>
      </x:c>
      <x:c r="P212" s="9" t="str">
        <x:v>Cutscenes only</x:v>
      </x:c>
      <x:c r="Q212" s="9" t="str">
        <x:v>Released</x:v>
      </x:c>
      <x:c r="R212" s="9" t="str">
        <x:v>NES original (Codemasters, 1991)</x:v>
      </x:c>
      <x:c r="S212" s="9" t="str">
        <x:v>NES, Genesis/Mega Drive, SNES, Game Boy, Game Gear, Master System, Amiga, DOS</x:v>
      </x:c>
      <x:c r="T212" s="9" t="str">
        <x:v>—</x:v>
      </x:c>
      <x:c r="U212" s="9" t="n">
        <x:v>1</x:v>
      </x:c>
      <x:c r="V212" s="9" t="str">
        <x:v>Unknown — verify</x:v>
      </x:c>
      <x:c r="W212" s="9" t="str">
        <x:v>Digital Video Cartridge not used (The World of CD-i). CD-i gamepad; 2 players head-to-head.</x:v>
      </x:c>
      <x:c r="X212" s="9" t="str">
        <x:v>Low</x:v>
      </x:c>
      <x:c r="Y212" s="9" t="str"/>
      <x:c r="Z212" s="9" t="str">
        <x:v>1–2 hr</x:v>
      </x:c>
      <x:c r="AA212" s="9" t="str">
        <x:v>The only disc-based Micro Machines of its era, with CD-i-exclusive cutscenes by Altered Images.</x:v>
      </x:c>
      <x:c r="AB212" s="9" t="str">
        <x:v>None known</x:v>
      </x:c>
      <x:c r="AC212" s="9" t="str">
        <x:v>Cutscenes credited to Altered Images; whether they are pre-rendered CG or digitised video, and their window size, is not confirmed (verify)</x:v>
      </x:c>
      <x:c r="AD212" s="9" t="str">
        <x:v>Moderate to hard in the later races</x:v>
      </x:c>
      <x:c r="AE212" s="9" t="str">
        <x:v>Linear, one ending</x:v>
      </x:c>
      <x:c r="AF212" s="9" t="str">
        <x:v>MobyGames credits Altered Images with cutscenes added only to the CD-i version. 36 courses and 9 vehicle types.</x:v>
      </x:c>
      <x:c r="AG212" s="9" t="str">
        <x:v>European releases only (The World of CD-i).</x:v>
      </x:c>
      <x:c r="AH212" s="9" t="str">
        <x:v>No</x:v>
      </x:c>
      <x:c r="AI212" s="9" t="str">
        <x:v>Easy</x:v>
      </x:c>
      <x:c r="AJ212" s="9"/>
      <x:c r="AK212" s="9" t="str">
        <x:v>The cutscene credit shows that the CD-i version adds non-interactive sequences, so it is kept as cutscenes-only. Their exact nature is unconfirmed (verify with a capture). MobyGames shows a 60% critic score for CD-i (no reviews attached) and 3.8/5 from 4 player ratings.</x:v>
      </x:c>
      <x:c r="AL212" s="10" t="n">
        <x:v>23.72</x:v>
      </x:c>
      <x:c r="AM212" s="10" t="n">
        <x:v>39.99</x:v>
      </x:c>
      <x:c r="AN212" s="10" t="n">
        <x:v>80</x:v>
      </x:c>
      <x:c r="AO212" s="9" t="str">
        <x:v>2026-10-20</x:v>
      </x:c>
      <x:c r="AP212" s="11" t="str">
        <x:f>HYPERLINK("https://www.pricecharting.com/game/cd-i/micro-machines","PriceCharting")</x:f>
        <x:v>PriceCharting</x:v>
      </x:c>
      <x:c r="AQ212" s="9"/>
      <x:c r="AR212" s="9"/>
      <x:c r="AS212" s="9"/>
      <x:c r="AT212" s="9"/>
      <x:c r="AU212" s="9"/>
      <x:c r="AV212" s="9"/>
      <x:c r="AW212" s="9"/>
      <x:c r="AX212" s="9"/>
      <x:c r="AY212" s="9" t="str">
        <x:v>60%</x:v>
      </x:c>
      <x:c r="AZ212" s="9" t="str">
        <x:v>3.8</x:v>
      </x:c>
      <x:c r="BA212" s="11" t="str">
        <x:f>HYPERLINK("https://www.mobygames.com/game/3887/micro-machines/","MobyGames")</x:f>
        <x:v>MobyGames</x:v>
      </x:c>
      <x:c r="BB212" s="9"/>
      <x:c r="BC212" s="9"/>
      <x:c r="BD212" s="9"/>
      <x:c r="BE212" s="11" t="str">
        <x:f>HYPERLINK("https://en.wikipedia.org/wiki/Micro_Machines_(video_game)","Wikipedia")</x:f>
        <x:v>Wikipedia</x:v>
      </x:c>
      <x:c r="BF212" s="11" t="str">
        <x:f>HYPERLINK("https://backloggd.com/search/games/Micro%20Machines/","Backloggd")</x:f>
        <x:v>Backloggd</x:v>
      </x:c>
      <x:c r="BG212" s="9"/>
      <x:c r="BH212" s="9"/>
      <x:c r="BI212" s="12" t="str">
        <x:v>No</x:v>
      </x:c>
      <x:c r="BJ212" s="12" t="str"/>
      <x:c r="BK212" s="12" t="str">
        <x:v>No</x:v>
      </x:c>
      <x:c r="BL212" s="12" t="str"/>
      <x:c r="BM212" s="12" t="str"/>
      <x:c r="BN212" s="12" t="str"/>
      <x:c r="BO212" s="12" t="str"/>
      <x:c r="BP212" s="12" t="str"/>
      <x:c r="BQ212" s="12" t="str"/>
    </x:row>
    <x:row r="213">
      <x:c r="A213" s="9" t="str">
        <x:v>cdi-68</x:v>
      </x:c>
      <x:c r="B213" s="9" t="str">
        <x:v>labyrinth-of-crete</x:v>
      </x:c>
      <x:c r="C213" s="9" t="str">
        <x:v>Philips CD-i</x:v>
      </x:c>
      <x:c r="D213" s="9" t="str">
        <x:v>Labyrinth of Crete</x:v>
      </x:c>
      <x:c r="E213" s="9" t="str"/>
      <x:c r="F213" s="9" t="str">
        <x:v>Philips Fun House (Funhouse Design)</x:v>
      </x:c>
      <x:c r="G213" s="9" t="str">
        <x:v>Philips Media (EU)</x:v>
      </x:c>
      <x:c r="H213" s="9" t="n">
        <x:v>1997</x:v>
      </x:c>
      <x:c r="I213" s="9" t="str">
        <x:v>No</x:v>
      </x:c>
      <x:c r="J213" s="9" t="str">
        <x:v>No</x:v>
      </x:c>
      <x:c r="K213" s="9" t="str">
        <x:v>Yes</x:v>
      </x:c>
      <x:c r="L213" s="9" t="str">
        <x:v>No</x:v>
      </x:c>
      <x:c r="M213" s="9" t="str">
        <x:v>Puzzle adventure (Greek mythology)</x:v>
      </x:c>
      <x:c r="N213" s="9" t="str">
        <x:v>Animated</x:v>
      </x:c>
      <x:c r="O213" s="9" t="n">
        <x:v>2</x:v>
      </x:c>
      <x:c r="P213" s="9" t="str">
        <x:v>Cutscenes only</x:v>
      </x:c>
      <x:c r="Q213" s="9" t="str">
        <x:v>Released</x:v>
      </x:c>
      <x:c r="R213" s="9" t="str">
        <x:v>Reskin of Funhouse's Merlin's Apprentice (CD-i/PC); PC original 1995</x:v>
      </x:c>
      <x:c r="S213" s="9" t="str">
        <x:v>Windows 3.x (1995), Macintosh (1996)</x:v>
      </x:c>
      <x:c r="T213" s="9" t="str">
        <x:v>—</x:v>
      </x:c>
      <x:c r="U213" s="9" t="n">
        <x:v>1</x:v>
      </x:c>
      <x:c r="V213" s="9" t="str">
        <x:v>Unknown — verify</x:v>
      </x:c>
      <x:c r="W213" s="9" t="str">
        <x:v>CD-i Digital Video Cartridge REQUIRED (World of CD-i entry and DVC-required list; MobyGames 'DVC Required' attribute). CD-i gamepad/mouse.</x:v>
      </x:c>
      <x:c r="X213" s="9" t="str">
        <x:v>Low</x:v>
      </x:c>
      <x:c r="Y213" s="9" t="str"/>
      <x:c r="Z213" s="9" t="str">
        <x:v>3–5 hr (verify)</x:v>
      </x:c>
      <x:c r="AA213" s="9" t="str">
        <x:v>Condemned for robbing Hera, you puzzle your way through a maze to the Minotaur, in a late EU-only CD-i game that needs the MPEG cartridge.</x:v>
      </x:c>
      <x:c r="AB213" s="9" t="str">
        <x:v>None known</x:v>
      </x:c>
      <x:c r="AC213" s="9" t="str">
        <x:v>MPEG via the DVC; what plays (character animation or cutscenes) is not confirmed (verify)</x:v>
      </x:c>
      <x:c r="AD213" s="9" t="str">
        <x:v>Moderate (puzzle-based)</x:v>
      </x:c>
      <x:c r="AE213" s="9" t="str">
        <x:v>One finale: 47 puzzles across the labyrinth, with the zodiac secret resolving the plot at the end (per a PC-version description; verify)</x:v>
      </x:c>
      <x:c r="AF213" s="9" t="str">
        <x:v>TCRF calls it an Ancient Greece reskin of Merlin's Apprentice; the disc holds debug strings for the BOSS and Traffic Cop development tools. The English back cover says 1997, but the disc says 1995.</x:v>
      </x:c>
      <x:c r="AG213" s="9" t="str">
        <x:v>EU only; World of CD-i says it stayed on shelves about 18 months</x:v>
      </x:c>
      <x:c r="AH213" s="9" t="str">
        <x:v>No</x:v>
      </x:c>
      <x:c r="AI213" s="9" t="str">
        <x:v>Add-on required</x:v>
      </x:c>
      <x:c r="AJ213" s="9"/>
      <x:c r="AK213" s="9" t="str">
        <x:v>The DVC requirement is solid, but the nature of the video is unconfirmed, so fmv 2 is an estimate (verify; raise it if MPEG host or character video drives play). MobyGames shows CD-i critic scores of World of CD-i 90% and CDi Magazine 87%, an 88% average. Not to be confused with the 1982 Adventure International text adventure.</x:v>
      </x:c>
      <x:c r="AL213" s="10" t="n">
        <x:v>31.82</x:v>
      </x:c>
      <x:c r="AM213" s="10" t="n">
        <x:v>67.49</x:v>
      </x:c>
      <x:c r="AN213" s="10" t="n">
        <x:v>135</x:v>
      </x:c>
      <x:c r="AO213" s="9" t="str">
        <x:v>2026-10-20</x:v>
      </x:c>
      <x:c r="AP213" s="11" t="str">
        <x:f>HYPERLINK("https://www.pricecharting.com/game/cd-i/labyrinth-of-crete","PriceCharting")</x:f>
        <x:v>PriceCharting</x:v>
      </x:c>
      <x:c r="AQ213" s="9"/>
      <x:c r="AR213" s="9"/>
      <x:c r="AS213" s="9"/>
      <x:c r="AT213" s="9"/>
      <x:c r="AU213" s="9"/>
      <x:c r="AV213" s="9"/>
      <x:c r="AW213" s="9"/>
      <x:c r="AX213" s="9"/>
      <x:c r="AY213" s="9" t="str">
        <x:v>88%</x:v>
      </x:c>
      <x:c r="AZ213" s="9"/>
      <x:c r="BA213" s="11" t="str">
        <x:f>HYPERLINK("https://www.mobygames.com/game/40972/labyrinth-of-crete/","MobyGames")</x:f>
        <x:v>MobyGames</x:v>
      </x:c>
      <x:c r="BB213" s="9"/>
      <x:c r="BC213" s="9"/>
      <x:c r="BD213" s="9"/>
      <x:c r="BE213" s="9"/>
      <x:c r="BF213" s="11" t="str">
        <x:f>HYPERLINK("https://backloggd.com/search/games/Labyrinth%20of%20Crete/","Backloggd")</x:f>
        <x:v>Backloggd</x:v>
      </x:c>
      <x:c r="BG213" s="9"/>
      <x:c r="BH213" s="9"/>
      <x:c r="BI213" s="12" t="str">
        <x:v>No</x:v>
      </x:c>
      <x:c r="BJ213" s="12" t="str"/>
      <x:c r="BK213" s="12" t="str">
        <x:v>No</x:v>
      </x:c>
      <x:c r="BL213" s="12" t="str"/>
      <x:c r="BM213" s="12" t="str"/>
      <x:c r="BN213" s="12" t="str"/>
      <x:c r="BO213" s="12" t="str"/>
      <x:c r="BP213" s="12" t="str"/>
      <x:c r="BQ213" s="12" t="str"/>
    </x:row>
    <x:row r="214">
      <x:c r="A214" s="9" t="str">
        <x:v>ps1-1</x:v>
      </x:c>
      <x:c r="B214" s="9" t="str">
        <x:v>psychic-detective</x:v>
      </x:c>
      <x:c r="C214" s="9" t="str">
        <x:v>PlayStation</x:v>
      </x:c>
      <x:c r="D214" s="9" t="str">
        <x:v>Psychic Detective</x:v>
      </x:c>
      <x:c r="E214" s="9" t="str"/>
      <x:c r="F214" s="9" t="str">
        <x:v>Colossal Pictures</x:v>
      </x:c>
      <x:c r="G214" s="9" t="str">
        <x:v>Electronic Arts (NA); EA Victor (JP) — verify JP</x:v>
      </x:c>
      <x:c r="H214" s="9" t="n">
        <x:v>1995</x:v>
      </x:c>
      <x:c r="I214" s="9" t="str">
        <x:v>Yes</x:v>
      </x:c>
      <x:c r="J214" s="9" t="str">
        <x:v>Yes</x:v>
      </x:c>
      <x:c r="K214" s="9" t="str">
        <x:v>Yes</x:v>
      </x:c>
      <x:c r="L214" s="9" t="str">
        <x:v>No</x:v>
      </x:c>
      <x:c r="M214" s="9" t="str">
        <x:v>Interactive movie / mystery</x:v>
      </x:c>
      <x:c r="N214" s="9" t="str">
        <x:v>Live-action</x:v>
      </x:c>
      <x:c r="O214" s="9" t="n">
        <x:v>10</x:v>
      </x:c>
      <x:c r="P214" s="9" t="str">
        <x:v>Interactive movie</x:v>
      </x:c>
      <x:c r="Q214" s="9" t="str">
        <x:v>Released</x:v>
      </x:c>
      <x:c r="R214" s="9" t="str">
        <x:v>Original production (EA / Colossal Pictures)</x:v>
      </x:c>
      <x:c r="S214" s="9" t="str">
        <x:v>3DO, DOS/Windows</x:v>
      </x:c>
      <x:c r="T214" s="9" t="str">
        <x:v>Kevin Breznahan (Eric Fox), Beata Pozniak (Laina Pozok); about 95 actors in all</x:v>
      </x:c>
      <x:c r="U214" s="9" t="n">
        <x:v>3</x:v>
      </x:c>
      <x:c r="V214" s="9" t="str">
        <x:v>Yes (memory card, 1 block)</x:v>
      </x:c>
      <x:c r="W214" s="9" t="str">
        <x:v>Standard controller; memory card</x:v>
      </x:c>
      <x:c r="X214" s="9" t="str">
        <x:v>Low</x:v>
      </x:c>
      <x:c r="Y214" s="9" t="str"/>
      <x:c r="Z214" s="9" t="str">
        <x:v>30–60 min per run; many runs to see all paths</x:v>
      </x:c>
      <x:c r="AA214" s="9" t="str">
        <x:v>You play a psychic who jumps between people's minds mid-scene, so every playthrough cuts the same murder mystery differently.</x:v>
      </x:c>
      <x:c r="AB214" s="9" t="str">
        <x:v>None known</x:v>
      </x:c>
      <x:c r="AC214" s="9" t="str">
        <x:v>Small windowed video with on-screen 'mind' icons to switch viewpoints; low frame rate — verify size/fps</x:v>
      </x:c>
      <x:c r="AD214" s="9" t="str">
        <x:v>Light; challenge is finding the right mind to read at the right moment</x:v>
      </x:c>
      <x:c r="AE214" s="9" t="str">
        <x:v>Multiple endings depending on whose minds you read; about a dozen in all</x:v>
      </x:c>
      <x:c r="AF214" s="9" t="str">
        <x:v>Built by San Francisco animation/effects house Colossal Pictures as one of EA's mid-90s Hollywood-style experiments.</x:v>
      </x:c>
      <x:c r="AG214" s="9" t="str">
        <x:v>NA 3-disc release (SLUS-00165-7); PAL 3-disc release (SLES-00070, English); JP release — verify</x:v>
      </x:c>
      <x:c r="AH214" s="9" t="str">
        <x:v>No</x:v>
      </x:c>
      <x:c r="AI214" s="9" t="str">
        <x:v>Easy</x:v>
      </x:c>
      <x:c r="AJ214" s="9"/>
      <x:c r="AK214" s="9" t="str"/>
      <x:c r="AL214" s="10" t="n">
        <x:v>92.75</x:v>
      </x:c>
      <x:c r="AM214" s="10" t="n">
        <x:v>202.84</x:v>
      </x:c>
      <x:c r="AN214" s="10" t="n">
        <x:v>463.86</x:v>
      </x:c>
      <x:c r="AO214" s="9" t="str">
        <x:v>2026-10-21</x:v>
      </x:c>
      <x:c r="AP214" s="11" t="str">
        <x:f>HYPERLINK("https://www.pricecharting.com/game/playstation/psychic-detective","PriceCharting")</x:f>
        <x:v>PriceCharting</x:v>
      </x:c>
      <x:c r="AQ214" s="9"/>
      <x:c r="AR214" s="9"/>
      <x:c r="AS214" s="9"/>
      <x:c r="AT214" s="9"/>
      <x:c r="AU214" s="9"/>
      <x:c r="AV214" s="9"/>
      <x:c r="AW214" s="9"/>
      <x:c r="AX214" s="9"/>
      <x:c r="AY214" s="9" t="str">
        <x:v>60%</x:v>
      </x:c>
      <x:c r="AZ214" s="9" t="str">
        <x:v>2.2</x:v>
      </x:c>
      <x:c r="BA214" s="11" t="str">
        <x:f>HYPERLINK("https://www.mobygames.com/search/?q=Psychic+Detective","MobyGames")</x:f>
        <x:v>MobyGames</x:v>
      </x:c>
      <x:c r="BB214" s="9" t="str">
        <x:v>10%</x:v>
      </x:c>
      <x:c r="BC214" s="9" t="str">
        <x:v>GameRankings, 1 review</x:v>
      </x:c>
      <x:c r="BD214" s="9" t="str">
        <x:f>HYPERLINK("https://web.archive.org/web/20191209011119id_/https://www.gamerankings.com/ps/572524-psychic-detective/","Source")</x:f>
        <x:v>Source</x:v>
      </x:c>
      <x:c r="BE214" s="11" t="str">
        <x:f>HYPERLINK("https://en.wikipedia.org/wiki/Psychic_Detective_(video_game)","Wikipedia")</x:f>
        <x:v>Wikipedia</x:v>
      </x:c>
      <x:c r="BF214" s="11" t="str">
        <x:f>HYPERLINK("https://backloggd.com/search/games/Psychic%20Detective/","Backloggd")</x:f>
        <x:v>Backloggd</x:v>
      </x:c>
      <x:c r="BG214" s="9"/>
      <x:c r="BH214" s="9"/>
      <x:c r="BI214" s="12" t="str">
        <x:v>No</x:v>
      </x:c>
      <x:c r="BJ214" s="12" t="str"/>
      <x:c r="BK214" s="12" t="str">
        <x:v>No</x:v>
      </x:c>
      <x:c r="BL214" s="12" t="str"/>
      <x:c r="BM214" s="12" t="str"/>
      <x:c r="BN214" s="12" t="str"/>
      <x:c r="BO214" s="12" t="str"/>
      <x:c r="BP214" s="12" t="str"/>
      <x:c r="BQ214" s="12" t="str"/>
    </x:row>
    <x:row r="215">
      <x:c r="A215" s="9" t="str">
        <x:v>ps1-2</x:v>
      </x:c>
      <x:c r="B215" s="9" t="str">
        <x:v>the-x-files-game</x:v>
      </x:c>
      <x:c r="C215" s="9" t="str">
        <x:v>PlayStation</x:v>
      </x:c>
      <x:c r="D215" s="9" t="str">
        <x:v>The X-Files Game</x:v>
      </x:c>
      <x:c r="E215" s="9" t="str">
        <x:v>The X-Files Game</x:v>
      </x:c>
      <x:c r="F215" s="9" t="str">
        <x:v>HyperBole Studios</x:v>
      </x:c>
      <x:c r="G215" s="9" t="str">
        <x:v>Fox Interactive (NA/EU)</x:v>
      </x:c>
      <x:c r="H215" s="9" t="n">
        <x:v>2000</x:v>
      </x:c>
      <x:c r="I215" s="9" t="str">
        <x:v>Yes</x:v>
      </x:c>
      <x:c r="J215" s="9" t="str">
        <x:v>No</x:v>
      </x:c>
      <x:c r="K215" s="9" t="str">
        <x:v>Yes</x:v>
      </x:c>
      <x:c r="L215" s="9" t="str">
        <x:v>No</x:v>
      </x:c>
      <x:c r="M215" s="9" t="str">
        <x:v>FMV point-and-click adventure</x:v>
      </x:c>
      <x:c r="N215" s="9" t="str">
        <x:v>Live-action</x:v>
      </x:c>
      <x:c r="O215" s="9" t="n">
        <x:v>10</x:v>
      </x:c>
      <x:c r="P215" s="9" t="str">
        <x:v>Interactive movie</x:v>
      </x:c>
      <x:c r="Q215" s="9" t="str">
        <x:v>Released</x:v>
      </x:c>
      <x:c r="R215" s="9" t="str">
        <x:v>TV license (The X-Files); PC original 1998</x:v>
      </x:c>
      <x:c r="S215" s="9" t="str">
        <x:v>Windows, Mac</x:v>
      </x:c>
      <x:c r="T215" s="9" t="str">
        <x:v>David Duchovny (Mulder), Gillian Anderson (Scully), Jordan Lee Williams (Agent Craig Willmore), Paige Witte (Mary Astadourian), Mitch Pileggi (Skinner), Steven Williams (X), Dean Haglund, Bruce Harwood, Tom Braidwood (the Lone Gunmen), William B. Davis (the Smoking Man, briefly)</x:v>
      </x:c>
      <x:c r="U215" s="9" t="n">
        <x:v>4</x:v>
      </x:c>
      <x:c r="V215" s="9" t="str">
        <x:v>Yes (memory card)</x:v>
      </x:c>
      <x:c r="W215" s="9" t="str">
        <x:v>Standard controller; PlayStation Mouse support — verify</x:v>
      </x:c>
      <x:c r="X215" s="9" t="str">
        <x:v>HIGH</x:v>
      </x:c>
      <x:c r="Y215" s="9" t="str">
        <x:v>Mark Snow X-Files theme and score; Fox-owned TV likenesses and footage</x:v>
      </x:c>
      <x:c r="Z215" s="9" t="str">
        <x:v>6–10 hr</x:v>
      </x:c>
      <x:c r="AA215" s="9" t="str">
        <x:v>A full official X-Files episode-length story with Mulder and Scully, played through Virtual Cinema stills and video.</x:v>
      </x:c>
      <x:c r="AB215" s="9" t="str">
        <x:v>None known</x:v>
      </x:c>
      <x:c r="AC215" s="9" t="str">
        <x:v>Full-screen-ish live-action clips with panoramic still navigation; heavily compressed to fit 4 discs — verify</x:v>
      </x:c>
      <x:c r="AD215" s="9" t="str">
        <x:v>Moderate adventure puzzles; some timed sequences can kill you</x:v>
      </x:c>
      <x:c r="AE215" s="9" t="str">
        <x:v>Multiple outcomes/deaths; one main good ending — verify</x:v>
      </x:c>
      <x:c r="AF215" s="9" t="str">
        <x:v>Filmed in Vancouver alongside the show's production; Duchovny and Anderson shot their scenes in a few days for the game.</x:v>
      </x:c>
      <x:c r="AG215" s="9" t="str">
        <x:v>NA and PAL releases; PC version 1998 (7 CDs, DVD-ROM edition)</x:v>
      </x:c>
      <x:c r="AH215" s="9" t="str">
        <x:v>No</x:v>
      </x:c>
      <x:c r="AI215" s="9" t="str">
        <x:v>Easy</x:v>
      </x:c>
      <x:c r="AJ215" s="9"/>
      <x:c r="AK215" s="9" t="str"/>
      <x:c r="AL215" s="10" t="n">
        <x:v>19.99</x:v>
      </x:c>
      <x:c r="AM215" s="10" t="n">
        <x:v>35.35</x:v>
      </x:c>
      <x:c r="AN215" s="10" t="n">
        <x:v>104.75</x:v>
      </x:c>
      <x:c r="AO215" s="9" t="str">
        <x:v>2026-10-21</x:v>
      </x:c>
      <x:c r="AP215" s="11" t="str">
        <x:f>HYPERLINK("https://www.pricecharting.com/game/playstation/x-files-the-game","PriceCharting")</x:f>
        <x:v>PriceCharting</x:v>
      </x:c>
      <x:c r="AQ215" s="9"/>
      <x:c r="AR215" s="9"/>
      <x:c r="AS215" s="9"/>
      <x:c r="AT215" s="9"/>
      <x:c r="AU215" s="9"/>
      <x:c r="AV215" s="9"/>
      <x:c r="AW215" s="9"/>
      <x:c r="AX215" s="9"/>
      <x:c r="AY215" s="9" t="str">
        <x:v>66%</x:v>
      </x:c>
      <x:c r="AZ215" s="9" t="str">
        <x:v>3.7</x:v>
      </x:c>
      <x:c r="BA215" s="11" t="str">
        <x:f>HYPERLINK("https://www.mobygames.com/search/?q=The+X-Files+Game","MobyGames")</x:f>
        <x:v>MobyGames</x:v>
      </x:c>
      <x:c r="BB215" s="9"/>
      <x:c r="BC215" s="9"/>
      <x:c r="BD215" s="9"/>
      <x:c r="BE215" s="11" t="str">
        <x:f>HYPERLINK("https://en.wikipedia.org/wiki/The_X-Files_Game","Wikipedia")</x:f>
        <x:v>Wikipedia</x:v>
      </x:c>
      <x:c r="BF215" s="11" t="str">
        <x:f>HYPERLINK("https://backloggd.com/search/games/The%20X-Files%20Game/","Backloggd")</x:f>
        <x:v>Backloggd</x:v>
      </x:c>
      <x:c r="BG215" s="9"/>
      <x:c r="BH215" s="9"/>
      <x:c r="BI215" s="12" t="str">
        <x:v>No</x:v>
      </x:c>
      <x:c r="BJ215" s="12" t="str"/>
      <x:c r="BK215" s="12" t="str">
        <x:v>No</x:v>
      </x:c>
      <x:c r="BL215" s="12" t="str"/>
      <x:c r="BM215" s="12" t="str"/>
      <x:c r="BN215" s="12" t="str"/>
      <x:c r="BO215" s="12" t="str"/>
      <x:c r="BP215" s="12" t="str"/>
      <x:c r="BQ215" s="12" t="str"/>
    </x:row>
    <x:row r="216">
      <x:c r="A216" s="9" t="str">
        <x:v>ps1-3</x:v>
      </x:c>
      <x:c r="B216" s="9" t="str">
        <x:v>fox-hunt</x:v>
      </x:c>
      <x:c r="C216" s="9" t="str">
        <x:v>PlayStation</x:v>
      </x:c>
      <x:c r="D216" s="9" t="str">
        <x:v>Fox Hunt</x:v>
      </x:c>
      <x:c r="E216" s="9" t="str"/>
      <x:c r="F216" s="9" t="str">
        <x:v>3Vision Games</x:v>
      </x:c>
      <x:c r="G216" s="9" t="str">
        <x:v>Capcom (NA)</x:v>
      </x:c>
      <x:c r="H216" s="9" t="n">
        <x:v>1996</x:v>
      </x:c>
      <x:c r="I216" s="9" t="str">
        <x:v>Yes</x:v>
      </x:c>
      <x:c r="J216" s="9" t="str">
        <x:v>No</x:v>
      </x:c>
      <x:c r="K216" s="9" t="str">
        <x:v>No</x:v>
      </x:c>
      <x:c r="L216" s="9" t="str">
        <x:v>No</x:v>
      </x:c>
      <x:c r="M216" s="9" t="str">
        <x:v>Interactive movie / spy comedy</x:v>
      </x:c>
      <x:c r="N216" s="9" t="str">
        <x:v>Live-action</x:v>
      </x:c>
      <x:c r="O216" s="9" t="n">
        <x:v>10</x:v>
      </x:c>
      <x:c r="P216" s="9" t="str">
        <x:v>Interactive movie</x:v>
      </x:c>
      <x:c r="Q216" s="9" t="str">
        <x:v>Released</x:v>
      </x:c>
      <x:c r="R216" s="9" t="str">
        <x:v>Original production</x:v>
      </x:c>
      <x:c r="S216" s="9" t="str">
        <x:v>Windows</x:v>
      </x:c>
      <x:c r="T216" s="9" t="str">
        <x:v>Andrew Bowen, George Lazenby, Timothy Bottoms (the chief cast; full credits not listed)</x:v>
      </x:c>
      <x:c r="U216" s="9" t="n">
        <x:v>3</x:v>
      </x:c>
      <x:c r="V216" s="9" t="str">
        <x:v>Yes (memory card, 6 blocks)</x:v>
      </x:c>
      <x:c r="W216" s="9" t="str">
        <x:v>Standard controller</x:v>
      </x:c>
      <x:c r="X216" s="9" t="str">
        <x:v>Low</x:v>
      </x:c>
      <x:c r="Y216" s="9" t="str"/>
      <x:c r="Z216" s="9" t="str">
        <x:v>1–2 hr</x:v>
      </x:c>
      <x:c r="AA216" s="9" t="str">
        <x:v>Capcom's only live-action FMV game: a spoof spy caper with a former James Bond in the cast.</x:v>
      </x:c>
      <x:c r="AB216" s="9" t="str">
        <x:v>None known</x:v>
      </x:c>
      <x:c r="AC216" s="9" t="str">
        <x:v>Windowed live-action with arcade-style action interludes — verify</x:v>
      </x:c>
      <x:c r="AD216" s="9" t="str">
        <x:v>Trial-and-error choices; frequent game overs</x:v>
      </x:c>
      <x:c r="AE216" s="9" t="str">
        <x:v>Branching, with death scenes and nine endings</x:v>
      </x:c>
      <x:c r="AF216" s="9" t="str">
        <x:v>Capcom USA published it in 1996, long after the FMV boom peaked; it became one of the rarer NA PS1 titles.</x:v>
      </x:c>
      <x:c r="AG216" s="9" t="str">
        <x:v>NA only, 3-disc case</x:v>
      </x:c>
      <x:c r="AH216" s="9" t="str">
        <x:v>No</x:v>
      </x:c>
      <x:c r="AI216" s="9" t="str">
        <x:v>Easy</x:v>
      </x:c>
      <x:c r="AJ216" s="9"/>
      <x:c r="AK216" s="9" t="str">
        <x:v>Developer/cast need verification.</x:v>
      </x:c>
      <x:c r="AL216" s="10" t="n">
        <x:v>93.72</x:v>
      </x:c>
      <x:c r="AM216" s="10" t="n">
        <x:v>253.75</x:v>
      </x:c>
      <x:c r="AN216" s="10" t="n">
        <x:v>660</x:v>
      </x:c>
      <x:c r="AO216" s="9" t="str">
        <x:v>2026-10-21</x:v>
      </x:c>
      <x:c r="AP216" s="11" t="str">
        <x:f>HYPERLINK("https://www.pricecharting.com/game/playstation/fox-hunt","PriceCharting")</x:f>
        <x:v>PriceCharting</x:v>
      </x:c>
      <x:c r="AQ216" s="9"/>
      <x:c r="AR216" s="9"/>
      <x:c r="AS216" s="9"/>
      <x:c r="AT216" s="9"/>
      <x:c r="AU216" s="9"/>
      <x:c r="AV216" s="9"/>
      <x:c r="AW216" s="9"/>
      <x:c r="AX216" s="9"/>
      <x:c r="AY216" s="9"/>
      <x:c r="AZ216" s="9" t="str">
        <x:v>3.3</x:v>
      </x:c>
      <x:c r="BA216" s="11" t="str">
        <x:f>HYPERLINK("https://www.mobygames.com/search/?q=Fox+Hunt","MobyGames")</x:f>
        <x:v>MobyGames</x:v>
      </x:c>
      <x:c r="BB216" s="9" t="str">
        <x:v>27%</x:v>
      </x:c>
      <x:c r="BC216" s="9" t="str">
        <x:v>GameRankings, 1 review</x:v>
      </x:c>
      <x:c r="BD216" s="9" t="str">
        <x:f>HYPERLINK("https://web.archive.org/web/20191209011819id_/https://www.gamerankings.com/ps/197379-fox-hunt/","Source")</x:f>
        <x:v>Source</x:v>
      </x:c>
      <x:c r="BE216" s="11" t="str">
        <x:f>HYPERLINK("https://en.wikipedia.org/wiki/Fox_Hunt_(video_game)","Wikipedia")</x:f>
        <x:v>Wikipedia</x:v>
      </x:c>
      <x:c r="BF216" s="11" t="str">
        <x:f>HYPERLINK("https://backloggd.com/search/games/Fox%20Hunt/","Backloggd")</x:f>
        <x:v>Backloggd</x:v>
      </x:c>
      <x:c r="BG216" s="9"/>
      <x:c r="BH216" s="9"/>
      <x:c r="BI216" s="12" t="str">
        <x:v>No</x:v>
      </x:c>
      <x:c r="BJ216" s="12" t="str"/>
      <x:c r="BK216" s="12" t="str">
        <x:v>No</x:v>
      </x:c>
      <x:c r="BL216" s="12" t="str"/>
      <x:c r="BM216" s="12" t="str"/>
      <x:c r="BN216" s="12" t="str"/>
      <x:c r="BO216" s="12" t="str"/>
      <x:c r="BP216" s="12" t="str"/>
      <x:c r="BQ216" s="12" t="str"/>
    </x:row>
    <x:row r="217">
      <x:c r="A217" s="9" t="str">
        <x:v>ps1-4</x:v>
      </x:c>
      <x:c r="B217" s="9" t="str">
        <x:v>brain-dead-13</x:v>
      </x:c>
      <x:c r="C217" s="9" t="str">
        <x:v>PlayStation</x:v>
      </x:c>
      <x:c r="D217" s="9" t="str">
        <x:v>Brain Dead 13</x:v>
      </x:c>
      <x:c r="E217" s="9" t="str"/>
      <x:c r="F217" s="9" t="str">
        <x:v>ReadySoft</x:v>
      </x:c>
      <x:c r="G217" s="9" t="str">
        <x:v>ReadySoft (NA); Coconuts Japan Entertainment (JP); EU publisher verify</x:v>
      </x:c>
      <x:c r="H217" s="9" t="n">
        <x:v>1996</x:v>
      </x:c>
      <x:c r="I217" s="9" t="str">
        <x:v>Yes</x:v>
      </x:c>
      <x:c r="J217" s="9" t="str">
        <x:v>Yes</x:v>
      </x:c>
      <x:c r="K217" s="9" t="str">
        <x:v>Yes</x:v>
      </x:c>
      <x:c r="L217" s="9" t="str">
        <x:v>No</x:v>
      </x:c>
      <x:c r="M217" s="9" t="str">
        <x:v>Animated interactive movie</x:v>
      </x:c>
      <x:c r="N217" s="9" t="str">
        <x:v>Animated</x:v>
      </x:c>
      <x:c r="O217" s="9" t="n">
        <x:v>10</x:v>
      </x:c>
      <x:c r="P217" s="9" t="str">
        <x:v>Laserdisc port</x:v>
      </x:c>
      <x:c r="Q217" s="9" t="str">
        <x:v>Released</x:v>
      </x:c>
      <x:c r="R217" s="9" t="str">
        <x:v>Original production (ReadySoft, Dragon's Lair/Space Ace porter)</x:v>
      </x:c>
      <x:c r="S217" s="9" t="str">
        <x:v>MS-DOS/Windows, Mac, 3DO, CD-i, Jaguar CD, Saturn; iOS (Digital Leisure, 2010)</x:v>
      </x:c>
      <x:c r="T217" s="9" t="str">
        <x:v>—</x:v>
      </x:c>
      <x:c r="U217" s="9" t="n">
        <x:v>1</x:v>
      </x:c>
      <x:c r="V217" s="9" t="str">
        <x:v>Yes — verify</x:v>
      </x:c>
      <x:c r="W217" s="9" t="str">
        <x:v>Standard controller</x:v>
      </x:c>
      <x:c r="X217" s="9" t="str">
        <x:v>Low</x:v>
      </x:c>
      <x:c r="Y217" s="9" t="str"/>
      <x:c r="Z217" s="9" t="str">
        <x:v>20–40 min once memorised</x:v>
      </x:c>
      <x:c r="AA217" s="9" t="str">
        <x:v>A Don Bluth-style cartoon gauntlet where Lance dodges Fritz and Dr. Nero Neurosis's gory death traps.</x:v>
      </x:c>
      <x:c r="AB217" s="9" t="str">
        <x:v>None known</x:v>
      </x:c>
      <x:c r="AC217" s="9" t="str">
        <x:v>Full-screen hand-drawn animation, decent frame rate — verify</x:v>
      </x:c>
      <x:c r="AD217" s="9" t="str">
        <x:v>Hard, Dragon's Lair-style memorisation of timed inputs</x:v>
      </x:c>
      <x:c r="AE217" s="9" t="str">
        <x:v>One ending; many comic death scenes</x:v>
      </x:c>
      <x:c r="AF217" s="9" t="str">
        <x:v>ReadySoft made it after porting Dragon's Lair and Space Ace to home systems, using its own animation studio in Canada.</x:v>
      </x:c>
      <x:c r="AG217" s="9" t="str">
        <x:v>NA/PAL/JP</x:v>
      </x:c>
      <x:c r="AH217" s="9" t="str">
        <x:v>No verified current digital sale; historical iOS edition and original discs.</x:v>
      </x:c>
      <x:c r="AI217" s="9" t="str">
        <x:v>Easy</x:v>
      </x:c>
      <x:c r="AJ217" s="9"/>
      <x:c r="AK217" s="9" t="str"/>
      <x:c r="AL217" s="10" t="n">
        <x:v>43.41</x:v>
      </x:c>
      <x:c r="AM217" s="10" t="n">
        <x:v>120.57</x:v>
      </x:c>
      <x:c r="AN217" s="10" t="n">
        <x:v>313</x:v>
      </x:c>
      <x:c r="AO217" s="9" t="str">
        <x:v>2026-10-21</x:v>
      </x:c>
      <x:c r="AP217" s="11" t="str">
        <x:f>HYPERLINK("https://www.pricecharting.com/game/playstation/brain-dead-13","PriceCharting")</x:f>
        <x:v>PriceCharting</x:v>
      </x:c>
      <x:c r="AQ217" s="9"/>
      <x:c r="AR217" s="9"/>
      <x:c r="AS217" s="9"/>
      <x:c r="AT217" s="9"/>
      <x:c r="AU217" s="9"/>
      <x:c r="AV217" s="9"/>
      <x:c r="AW217" s="9"/>
      <x:c r="AX217" s="9"/>
      <x:c r="AY217" s="9"/>
      <x:c r="AZ217" s="9"/>
      <x:c r="BA217" s="11" t="str">
        <x:f>HYPERLINK("https://www.mobygames.com/search/?q=Brain+Dead+13","MobyGames")</x:f>
        <x:v>MobyGames</x:v>
      </x:c>
      <x:c r="BB217" s="9" t="str">
        <x:v>48%</x:v>
      </x:c>
      <x:c r="BC217" s="9" t="str">
        <x:v>average of 2 reviews on Wikipedia (Fam, NGen)</x:v>
      </x:c>
      <x:c r="BD217" s="9" t="str">
        <x:f>HYPERLINK("https://en.wikipedia.org/wiki/Brain_Dead_13","Source")</x:f>
        <x:v>Source</x:v>
      </x:c>
      <x:c r="BE217" s="11" t="str">
        <x:f>HYPERLINK("https://en.wikipedia.org/wiki/Brain_Dead_13","Wikipedia")</x:f>
        <x:v>Wikipedia</x:v>
      </x:c>
      <x:c r="BF217" s="11" t="str">
        <x:f>HYPERLINK("https://backloggd.com/search/games/Brain%20Dead%2013/","Backloggd")</x:f>
        <x:v>Backloggd</x:v>
      </x:c>
      <x:c r="BG217" s="9"/>
      <x:c r="BH217" s="9"/>
      <x:c r="BI217" s="12" t="str">
        <x:v>No</x:v>
      </x:c>
      <x:c r="BJ217" s="12" t="str"/>
      <x:c r="BK217" s="12" t="str">
        <x:v>No</x:v>
      </x:c>
      <x:c r="BL217" s="12" t="str"/>
      <x:c r="BM217" s="12" t="str"/>
      <x:c r="BN217" s="12" t="str"/>
      <x:c r="BO217" s="12" t="str"/>
      <x:c r="BP217" s="12" t="str"/>
      <x:c r="BQ217" s="12" t="str"/>
    </x:row>
    <x:row r="218">
      <x:c r="A218" s="9" t="str">
        <x:v>ps1-5</x:v>
      </x:c>
      <x:c r="B218" s="9" t="str">
        <x:v>rebel-assault-ii-the-hidden-empire</x:v>
      </x:c>
      <x:c r="C218" s="9" t="str">
        <x:v>PlayStation</x:v>
      </x:c>
      <x:c r="D218" s="9" t="str">
        <x:v>Rebel Assault II: The Hidden Empire</x:v>
      </x:c>
      <x:c r="E218" s="9" t="str">
        <x:v>Star Wars: Rebel Assault II</x:v>
      </x:c>
      <x:c r="F218" s="9" t="str">
        <x:v>LucasArts (PlayStation port by Factor 5)</x:v>
      </x:c>
      <x:c r="G218" s="9" t="str">
        <x:v>LucasArts (NA/EU); Bullet-Proof Software (JP)</x:v>
      </x:c>
      <x:c r="H218" s="9" t="n">
        <x:v>1996</x:v>
      </x:c>
      <x:c r="I218" s="9" t="str">
        <x:v>Yes</x:v>
      </x:c>
      <x:c r="J218" s="9" t="str">
        <x:v>Yes</x:v>
      </x:c>
      <x:c r="K218" s="9" t="str">
        <x:v>Yes</x:v>
      </x:c>
      <x:c r="L218" s="9" t="str">
        <x:v>No</x:v>
      </x:c>
      <x:c r="M218" s="9" t="str">
        <x:v>Rail shooter</x:v>
      </x:c>
      <x:c r="N218" s="9" t="str">
        <x:v>Live-action + pre-rendered CG</x:v>
      </x:c>
      <x:c r="O218" s="9" t="n">
        <x:v>9</x:v>
      </x:c>
      <x:c r="P218" s="9" t="str">
        <x:v>Interactive movie</x:v>
      </x:c>
      <x:c r="Q218" s="9" t="str">
        <x:v>Released</x:v>
      </x:c>
      <x:c r="R218" s="9" t="str">
        <x:v>Star Wars license; PC original 1995</x:v>
      </x:c>
      <x:c r="S218" s="9" t="str">
        <x:v>DOS/Windows, Mac</x:v>
      </x:c>
      <x:c r="T218" s="9" t="str">
        <x:v>Jamison Jones (Rookie One), Julie Eccles (Ru Murleen), C. Andrew Nelson (Darth Vader; voiced by Scott Lawrence)</x:v>
      </x:c>
      <x:c r="U218" s="9" t="n">
        <x:v>2</x:v>
      </x:c>
      <x:c r="V218" s="9" t="str">
        <x:v>Yes (memory card, 5 blocks)</x:v>
      </x:c>
      <x:c r="W218" s="9" t="str">
        <x:v>Standard controller</x:v>
      </x:c>
      <x:c r="X218" s="9" t="str">
        <x:v>Med–High</x:v>
      </x:c>
      <x:c r="Y218" s="9" t="str">
        <x:v>John Williams Star Wars music, Lucasfilm sound effects</x:v>
      </x:c>
      <x:c r="Z218" s="9" t="str">
        <x:v>2–3 hr</x:v>
      </x:c>
      <x:c r="AA218" s="9" t="str">
        <x:v>The first time Lucasfilm shot new live-action Star Wars footage since 1983 — for a rail shooter.</x:v>
      </x:c>
      <x:c r="AB218" s="9" t="str">
        <x:v>None known</x:v>
      </x:c>
      <x:c r="AC218" s="9" t="str">
        <x:v>Streamed CG flight paths with live-action cutscenes; grainy at PS1 resolution — verify</x:v>
      </x:c>
      <x:c r="AD218" s="9" t="str">
        <x:v>Medium-hard; several stages unforgiving</x:v>
      </x:c>
      <x:c r="AE218" s="9" t="str">
        <x:v>Linear, one ending</x:v>
      </x:c>
      <x:c r="AF218" s="9" t="str">
        <x:v>The live-action cutscenes were shot on bluescreen with original props and costumes.</x:v>
      </x:c>
      <x:c r="AG218" s="9" t="str">
        <x:v>NA/PAL/JP</x:v>
      </x:c>
      <x:c r="AH218" s="9" t="str">
        <x:v>No (PC version only via GOG/Steam — verify)</x:v>
      </x:c>
      <x:c r="AI218" s="9" t="str">
        <x:v>Easy</x:v>
      </x:c>
      <x:c r="AJ218" s="9"/>
      <x:c r="AK218" s="9" t="str"/>
      <x:c r="AL218" s="10" t="n">
        <x:v>7.61</x:v>
      </x:c>
      <x:c r="AM218" s="10" t="n">
        <x:v>11.65</x:v>
      </x:c>
      <x:c r="AN218" s="10" t="n">
        <x:v>41.49</x:v>
      </x:c>
      <x:c r="AO218" s="9" t="str">
        <x:v>2026-10-21</x:v>
      </x:c>
      <x:c r="AP218" s="11" t="str">
        <x:f>HYPERLINK("https://www.pricecharting.com/game/playstation/star-wars-rebel-assault-2","PriceCharting")</x:f>
        <x:v>PriceCharting</x:v>
      </x:c>
      <x:c r="AQ218" s="9"/>
      <x:c r="AR218" s="9"/>
      <x:c r="AS218" s="9"/>
      <x:c r="AT218" s="9"/>
      <x:c r="AU218" s="9"/>
      <x:c r="AV218" s="9"/>
      <x:c r="AW218" s="9"/>
      <x:c r="AX218" s="9"/>
      <x:c r="AY218" s="9"/>
      <x:c r="AZ218" s="9"/>
      <x:c r="BA218" s="11" t="str">
        <x:f>HYPERLINK("https://www.mobygames.com/search/?q=Rebel+Assault+II%3A+The+Hidden+Empire","MobyGames")</x:f>
        <x:v>MobyGames</x:v>
      </x:c>
      <x:c r="BB218" s="9" t="str">
        <x:v>60%</x:v>
      </x:c>
      <x:c r="BC218" s="9" t="str">
        <x:v>GameRankings, 6 reviews</x:v>
      </x:c>
      <x:c r="BD218" s="9" t="str">
        <x:f>HYPERLINK("https://web.archive.org/web/20191209014505id_/https://www.gamerankings.com/ps/198434-star-wars-rebel-assault-ii-the-hidden-empire/","Source")</x:f>
        <x:v>Source</x:v>
      </x:c>
      <x:c r="BE218" s="11" t="str">
        <x:f>HYPERLINK("https://en.wikipedia.org/wiki/Star_Wars:_Rebel_Assault_II:_The_Hidden_Empire","Wikipedia")</x:f>
        <x:v>Wikipedia</x:v>
      </x:c>
      <x:c r="BF218" s="11" t="str">
        <x:f>HYPERLINK("https://backloggd.com/search/games/Rebel%20Assault%20II%3A%20The%20Hidden%20Empire/","Backloggd")</x:f>
        <x:v>Backloggd</x:v>
      </x:c>
      <x:c r="BG218" s="9"/>
      <x:c r="BH218" s="9"/>
      <x:c r="BI218" s="12" t="str">
        <x:v>No</x:v>
      </x:c>
      <x:c r="BJ218" s="12" t="str"/>
      <x:c r="BK218" s="12" t="str">
        <x:v>No</x:v>
      </x:c>
      <x:c r="BL218" s="12" t="str"/>
      <x:c r="BM218" s="12" t="str"/>
      <x:c r="BN218" s="12" t="str"/>
      <x:c r="BO218" s="12" t="str"/>
      <x:c r="BP218" s="12" t="str"/>
      <x:c r="BQ218" s="12" t="str"/>
    </x:row>
    <x:row r="219">
      <x:c r="A219" s="9" t="str">
        <x:v>ps1-6</x:v>
      </x:c>
      <x:c r="B219" s="9" t="str">
        <x:v>novastorm</x:v>
      </x:c>
      <x:c r="C219" s="9" t="str">
        <x:v>PlayStation</x:v>
      </x:c>
      <x:c r="D219" s="9" t="str">
        <x:v>Novastorm</x:v>
      </x:c>
      <x:c r="E219" s="9" t="str"/>
      <x:c r="F219" s="9" t="str">
        <x:v>Psygnosis</x:v>
      </x:c>
      <x:c r="G219" s="9" t="str">
        <x:v>Psygnosis (NA/EU); Victor Interactive (JP)</x:v>
      </x:c>
      <x:c r="H219" s="9" t="n">
        <x:v>1995</x:v>
      </x:c>
      <x:c r="I219" s="9" t="str">
        <x:v>Yes</x:v>
      </x:c>
      <x:c r="J219" s="9" t="str">
        <x:v>Yes</x:v>
      </x:c>
      <x:c r="K219" s="9" t="str">
        <x:v>Yes</x:v>
      </x:c>
      <x:c r="L219" s="9" t="str">
        <x:v>No</x:v>
      </x:c>
      <x:c r="M219" s="9" t="str">
        <x:v>Rail shooter</x:v>
      </x:c>
      <x:c r="N219" s="9" t="str">
        <x:v>Pre-rendered CG</x:v>
      </x:c>
      <x:c r="O219" s="9" t="n">
        <x:v>9</x:v>
      </x:c>
      <x:c r="P219" s="9" t="str">
        <x:v>Pre-rendered CG</x:v>
      </x:c>
      <x:c r="Q219" s="9" t="str">
        <x:v>Released</x:v>
      </x:c>
      <x:c r="R219" s="9" t="str">
        <x:v>Original production (sequel to Microcosm/ Scavenger 4)</x:v>
      </x:c>
      <x:c r="S219" s="9" t="str">
        <x:v>FM Towns, 3DO, Sega CD, MS-DOS</x:v>
      </x:c>
      <x:c r="T219" s="9" t="str">
        <x:v>—</x:v>
      </x:c>
      <x:c r="U219" s="9" t="n">
        <x:v>1</x:v>
      </x:c>
      <x:c r="V219" s="9" t="str">
        <x:v>No — verify</x:v>
      </x:c>
      <x:c r="W219" s="9" t="str">
        <x:v>Standard controller</x:v>
      </x:c>
      <x:c r="X219" s="9" t="str">
        <x:v>Low</x:v>
      </x:c>
      <x:c r="Y219" s="9" t="str"/>
      <x:c r="Z219" s="9" t="str">
        <x:v>1 hr</x:v>
      </x:c>
      <x:c r="AA219" s="9" t="str">
        <x:v>A gorgeous pre-rendered CG rail shooter where your ship flies over streamed video at a then-astonishing quality.</x:v>
      </x:c>
      <x:c r="AB219" s="9" t="str">
        <x:v>None known</x:v>
      </x:c>
      <x:c r="AC219" s="9" t="str">
        <x:v>Full-screen streamed CG backgrounds with a sprite ship; the PlayStation version is the only one with full-screen FMV</x:v>
      </x:c>
      <x:c r="AD219" s="9" t="str">
        <x:v>Hard; limited continues</x:v>
      </x:c>
      <x:c r="AE219" s="9" t="str">
        <x:v>Linear, one ending</x:v>
      </x:c>
      <x:c r="AF219" s="9" t="str">
        <x:v>Known as Scavenger 4 in development; Psygnosis used it to show off its CG department.</x:v>
      </x:c>
      <x:c r="AG219" s="9" t="str">
        <x:v>NA/PAL/JP</x:v>
      </x:c>
      <x:c r="AH219" s="9" t="str">
        <x:v>No</x:v>
      </x:c>
      <x:c r="AI219" s="9" t="str">
        <x:v>Easy</x:v>
      </x:c>
      <x:c r="AJ219" s="9"/>
      <x:c r="AK219" s="9" t="str"/>
      <x:c r="AL219" s="10" t="n">
        <x:v>14.55</x:v>
      </x:c>
      <x:c r="AM219" s="10" t="n">
        <x:v>32.27</x:v>
      </x:c>
      <x:c r="AN219" s="10" t="n">
        <x:v>59</x:v>
      </x:c>
      <x:c r="AO219" s="9" t="str">
        <x:v>2026-10-21</x:v>
      </x:c>
      <x:c r="AP219" s="11" t="str">
        <x:f>HYPERLINK("https://www.pricecharting.com/game/playstation/novastorm","PriceCharting")</x:f>
        <x:v>PriceCharting</x:v>
      </x:c>
      <x:c r="AQ219" s="9"/>
      <x:c r="AR219" s="9"/>
      <x:c r="AS219" s="9"/>
      <x:c r="AT219" s="9"/>
      <x:c r="AU219" s="9"/>
      <x:c r="AV219" s="9"/>
      <x:c r="AW219" s="9"/>
      <x:c r="AX219" s="9"/>
      <x:c r="AY219" s="9" t="str">
        <x:v>53%</x:v>
      </x:c>
      <x:c r="AZ219" s="9" t="str">
        <x:v>2.7</x:v>
      </x:c>
      <x:c r="BA219" s="11" t="str">
        <x:f>HYPERLINK("https://www.mobygames.com/search/?q=Novastorm","MobyGames")</x:f>
        <x:v>MobyGames</x:v>
      </x:c>
      <x:c r="BB219" s="9" t="str">
        <x:v>65%</x:v>
      </x:c>
      <x:c r="BC219" s="9" t="str">
        <x:v>average of 2 reviews on Wikipedia (Allgame, CD Player)</x:v>
      </x:c>
      <x:c r="BD219" s="9" t="str">
        <x:f>HYPERLINK("https://en.wikipedia.org/wiki/Novastorm","Source")</x:f>
        <x:v>Source</x:v>
      </x:c>
      <x:c r="BE219" s="11" t="str">
        <x:f>HYPERLINK("https://en.wikipedia.org/wiki/Novastorm","Wikipedia")</x:f>
        <x:v>Wikipedia</x:v>
      </x:c>
      <x:c r="BF219" s="11" t="str">
        <x:f>HYPERLINK("https://backloggd.com/search/games/Novastorm/","Backloggd")</x:f>
        <x:v>Backloggd</x:v>
      </x:c>
      <x:c r="BG219" s="9"/>
      <x:c r="BH219" s="9"/>
      <x:c r="BI219" s="12" t="str">
        <x:v>No</x:v>
      </x:c>
      <x:c r="BJ219" s="12" t="str"/>
      <x:c r="BK219" s="12" t="str">
        <x:v>No</x:v>
      </x:c>
      <x:c r="BL219" s="12" t="str"/>
      <x:c r="BM219" s="12" t="str"/>
      <x:c r="BN219" s="12" t="str"/>
      <x:c r="BO219" s="12" t="str"/>
      <x:c r="BP219" s="12" t="str"/>
      <x:c r="BQ219" s="12" t="str"/>
    </x:row>
    <x:row r="220">
      <x:c r="A220" s="9" t="str">
        <x:v>ps1-7</x:v>
      </x:c>
      <x:c r="B220" s="9" t="str">
        <x:v>galaxian-3</x:v>
      </x:c>
      <x:c r="C220" s="9" t="str">
        <x:v>PlayStation</x:v>
      </x:c>
      <x:c r="D220" s="9" t="str">
        <x:v>Galaxian 3</x:v>
      </x:c>
      <x:c r="E220" s="9" t="str">
        <x:v>Galaxian³</x:v>
      </x:c>
      <x:c r="F220" s="9" t="str">
        <x:v>Namco</x:v>
      </x:c>
      <x:c r="G220" s="9" t="str">
        <x:v>Namco (JP/EU)</x:v>
      </x:c>
      <x:c r="H220" s="9" t="n">
        <x:v>1996</x:v>
      </x:c>
      <x:c r="I220" s="9" t="str">
        <x:v>No</x:v>
      </x:c>
      <x:c r="J220" s="9" t="str">
        <x:v>Yes</x:v>
      </x:c>
      <x:c r="K220" s="9" t="str">
        <x:v>Yes</x:v>
      </x:c>
      <x:c r="L220" s="9" t="str">
        <x:v>No</x:v>
      </x:c>
      <x:c r="M220" s="9" t="str">
        <x:v>Rail shooter (light-gun style, 4 players)</x:v>
      </x:c>
      <x:c r="N220" s="9" t="str">
        <x:v>Pre-rendered CG</x:v>
      </x:c>
      <x:c r="O220" s="9" t="n">
        <x:v>9</x:v>
      </x:c>
      <x:c r="P220" s="9" t="str">
        <x:v>Laserdisc port</x:v>
      </x:c>
      <x:c r="Q220" s="9" t="str">
        <x:v>Released</x:v>
      </x:c>
      <x:c r="R220" s="9" t="str">
        <x:v>Namco theme-park/arcade laserdisc attraction (1990)</x:v>
      </x:c>
      <x:c r="S220" s="9" t="str">
        <x:v>Arcade attraction</x:v>
      </x:c>
      <x:c r="T220" s="9" t="str">
        <x:v>—</x:v>
      </x:c>
      <x:c r="U220" s="9" t="n">
        <x:v>1</x:v>
      </x:c>
      <x:c r="V220" s="9" t="str">
        <x:v>Memory card, 3 blocks (PlayStation Datacenter; what it stores is unconfirmed)</x:v>
      </x:c>
      <x:c r="W220" s="9" t="str">
        <x:v>Standard controller; PlayStation Mouse; neGcon; Multitap (1–4 players); memory card (3 blocks)</x:v>
      </x:c>
      <x:c r="X220" s="9" t="str">
        <x:v>Low</x:v>
      </x:c>
      <x:c r="Y220" s="9" t="str"/>
      <x:c r="Z220" s="9" t="str">
        <x:v>20–30 min</x:v>
      </x:c>
      <x:c r="AA220" s="9" t="str">
        <x:v>Namco's 28-player theme-park laserdisc ride squeezed onto PS1 for four players with a multitap.</x:v>
      </x:c>
      <x:c r="AB220" s="9" t="str">
        <x:v>None known</x:v>
      </x:c>
      <x:c r="AC220" s="9" t="str">
        <x:v>Streamed CG backgrounds with crosshairs; lower resolution than the laserdisc original</x:v>
      </x:c>
      <x:c r="AD220" s="9" t="str">
        <x:v>Moderate; short</x:v>
      </x:c>
      <x:c r="AE220" s="9" t="str">
        <x:v>Linear; the disc has the arcade mission (Project Dragoon) plus an original second mission (The Rising of Gourb)</x:v>
      </x:c>
      <x:c r="AF220" s="9" t="str">
        <x:v>The original Galaxian³ was a 1990 Expo attraction using laserdisc video and up to 28 seats.</x:v>
      </x:c>
      <x:c r="AG220" s="9" t="str">
        <x:v>JP and PAL only; no NA release</x:v>
      </x:c>
      <x:c r="AH220" s="9" t="str">
        <x:v>No</x:v>
      </x:c>
      <x:c r="AI220" s="9" t="str">
        <x:v>Import</x:v>
      </x:c>
      <x:c r="AJ220" s="9"/>
      <x:c r="AK220" s="9" t="str">
        <x:v>Not released in NA.</x:v>
      </x:c>
      <x:c r="AL220" s="10" t="n">
        <x:v>13.08</x:v>
      </x:c>
      <x:c r="AM220" s="10" t="n">
        <x:v>13.08</x:v>
      </x:c>
      <x:c r="AN220" s="10" t="n">
        <x:v>34</x:v>
      </x:c>
      <x:c r="AO220" s="9" t="str">
        <x:v>2026-10-21</x:v>
      </x:c>
      <x:c r="AP220" s="11" t="str">
        <x:f>HYPERLINK("https://www.pricecharting.com/game/jp-playstation/galaxian-3","PriceCharting")</x:f>
        <x:v>PriceCharting</x:v>
      </x:c>
      <x:c r="AQ220" s="9"/>
      <x:c r="AR220" s="9"/>
      <x:c r="AS220" s="9"/>
      <x:c r="AT220" s="9"/>
      <x:c r="AU220" s="9"/>
      <x:c r="AV220" s="9"/>
      <x:c r="AW220" s="9"/>
      <x:c r="AX220" s="9"/>
      <x:c r="AY220" s="9"/>
      <x:c r="AZ220" s="9"/>
      <x:c r="BA220" s="11" t="str">
        <x:f>HYPERLINK("https://www.mobygames.com/search/?q=Galaxian+3","MobyGames")</x:f>
        <x:v>MobyGames</x:v>
      </x:c>
      <x:c r="BB220" s="9" t="str">
        <x:v>64%</x:v>
      </x:c>
      <x:c r="BC220" s="9" t="str">
        <x:v>average of 3 reviews on Wikipedia (Allgame, Famitsu, Dengeki PlayStation)</x:v>
      </x:c>
      <x:c r="BD220" s="9" t="str">
        <x:f>HYPERLINK("https://en.wikipedia.org/wiki/Galaxian3%3A_Project_Dragoon","Source")</x:f>
        <x:v>Source</x:v>
      </x:c>
      <x:c r="BE220" s="11" t="str">
        <x:f>HYPERLINK("https://en.wikipedia.org/wiki/Galaxian3","Wikipedia")</x:f>
        <x:v>Wikipedia</x:v>
      </x:c>
      <x:c r="BF220" s="11" t="str">
        <x:f>HYPERLINK("https://backloggd.com/search/games/Galaxian%203/","Backloggd")</x:f>
        <x:v>Backloggd</x:v>
      </x:c>
      <x:c r="BG220" s="9"/>
      <x:c r="BH220" s="9"/>
      <x:c r="BI220" s="12" t="str">
        <x:v>No</x:v>
      </x:c>
      <x:c r="BJ220" s="12" t="str"/>
      <x:c r="BK220" s="12" t="str">
        <x:v>No</x:v>
      </x:c>
      <x:c r="BL220" s="12" t="str"/>
      <x:c r="BM220" s="12" t="str"/>
      <x:c r="BN220" s="12" t="str"/>
      <x:c r="BO220" s="12" t="str"/>
      <x:c r="BP220" s="12" t="str"/>
      <x:c r="BQ220" s="12" t="str"/>
    </x:row>
    <x:row r="221">
      <x:c r="A221" s="9" t="str">
        <x:v>ps1-8</x:v>
      </x:c>
      <x:c r="B221" s="9" t="str">
        <x:v>the-hive</x:v>
      </x:c>
      <x:c r="C221" s="9" t="str">
        <x:v>PlayStation</x:v>
      </x:c>
      <x:c r="D221" s="9" t="str">
        <x:v>The Hive</x:v>
      </x:c>
      <x:c r="E221" s="9" t="str"/>
      <x:c r="F221" s="9" t="str">
        <x:v>Rainbow Studios</x:v>
      </x:c>
      <x:c r="G221" s="9" t="str">
        <x:v>Trimark Interactive (NA)</x:v>
      </x:c>
      <x:c r="H221" s="9" t="n">
        <x:v>1996</x:v>
      </x:c>
      <x:c r="I221" s="9" t="str">
        <x:v>Yes</x:v>
      </x:c>
      <x:c r="J221" s="9" t="str">
        <x:v>Yes</x:v>
      </x:c>
      <x:c r="K221" s="9" t="str">
        <x:v>No</x:v>
      </x:c>
      <x:c r="L221" s="9" t="str">
        <x:v>No</x:v>
      </x:c>
      <x:c r="M221" s="9" t="str">
        <x:v>Rail shooter</x:v>
      </x:c>
      <x:c r="N221" s="9" t="str">
        <x:v>Live-action + pre-rendered CG</x:v>
      </x:c>
      <x:c r="O221" s="9" t="n">
        <x:v>9</x:v>
      </x:c>
      <x:c r="P221" s="9" t="str">
        <x:v>Pre-rendered CG</x:v>
      </x:c>
      <x:c r="Q221" s="9" t="str">
        <x:v>Released</x:v>
      </x:c>
      <x:c r="R221" s="9" t="str">
        <x:v>Original production; PC original 1995</x:v>
      </x:c>
      <x:c r="S221" s="9" t="str">
        <x:v>Windows</x:v>
      </x:c>
      <x:c r="T221" s="9" t="str">
        <x:v>Unknown — verify</x:v>
      </x:c>
      <x:c r="U221" s="9" t="n">
        <x:v>2</x:v>
      </x:c>
      <x:c r="V221" s="9" t="str">
        <x:v>Yes (memory card, 1 block)</x:v>
      </x:c>
      <x:c r="W221" s="9" t="str">
        <x:v>Standard controller</x:v>
      </x:c>
      <x:c r="X221" s="9" t="str">
        <x:v>Low</x:v>
      </x:c>
      <x:c r="Y221" s="9" t="str"/>
      <x:c r="Z221" s="9" t="str">
        <x:v>1–2 hr</x:v>
      </x:c>
      <x:c r="AA221" s="9" t="str">
        <x:v>A bug-infested rail shooter over streamed CG, wrapped in cheesy live-action briefings from Trimark, the B-movie studio.</x:v>
      </x:c>
      <x:c r="AB221" s="9" t="str">
        <x:v>None known</x:v>
      </x:c>
      <x:c r="AC221" s="9" t="str">
        <x:v>Streamed CG playfield with sprites; live-action cutscenes — verify quality</x:v>
      </x:c>
      <x:c r="AD221" s="9" t="str">
        <x:v>Moderate</x:v>
      </x:c>
      <x:c r="AE221" s="9" t="str">
        <x:v>Linear</x:v>
      </x:c>
      <x:c r="AF221" s="9" t="str">
        <x:v>Published by film studio Trimark Pictures' games arm during its brief mid-90s run.</x:v>
      </x:c>
      <x:c r="AG221" s="9" t="str">
        <x:v>NA 2-disc release (SLUS-00120); Japanese release as The Hive Wars (KSS, 26 February 1998, SLPS-00325-6)</x:v>
      </x:c>
      <x:c r="AH221" s="9" t="str">
        <x:v>No</x:v>
      </x:c>
      <x:c r="AI221" s="9" t="str">
        <x:v>Easy</x:v>
      </x:c>
      <x:c r="AJ221" s="9"/>
      <x:c r="AK221" s="9" t="str"/>
      <x:c r="AL221" s="10" t="n">
        <x:v>15.5</x:v>
      </x:c>
      <x:c r="AM221" s="10" t="n">
        <x:v>24.98</x:v>
      </x:c>
      <x:c r="AN221" s="10" t="n">
        <x:v>55.91</x:v>
      </x:c>
      <x:c r="AO221" s="9" t="str">
        <x:v>2026-10-21</x:v>
      </x:c>
      <x:c r="AP221" s="11" t="str">
        <x:f>HYPERLINK("https://www.pricecharting.com/game/playstation/the-hive","PriceCharting")</x:f>
        <x:v>PriceCharting</x:v>
      </x:c>
      <x:c r="AQ221" s="9"/>
      <x:c r="AR221" s="9"/>
      <x:c r="AS221" s="9"/>
      <x:c r="AT221" s="9"/>
      <x:c r="AU221" s="9"/>
      <x:c r="AV221" s="9"/>
      <x:c r="AW221" s="9"/>
      <x:c r="AX221" s="9"/>
      <x:c r="AY221" s="9"/>
      <x:c r="AZ221" s="9"/>
      <x:c r="BA221" s="11" t="str">
        <x:f>HYPERLINK("https://www.mobygames.com/search/?q=The+Hive","MobyGames")</x:f>
        <x:v>MobyGames</x:v>
      </x:c>
      <x:c r="BB221" s="9" t="str">
        <x:v>30%</x:v>
      </x:c>
      <x:c r="BC221" s="9" t="str">
        <x:v>GameRankings, 1 review</x:v>
      </x:c>
      <x:c r="BD221" s="9" t="str">
        <x:f>HYPERLINK("https://web.archive.org/web/20191209014630id_/https://www.gamerankings.com/ps/572462-the-hive/","Source")</x:f>
        <x:v>Source</x:v>
      </x:c>
      <x:c r="BE221" s="11" t="str">
        <x:f>HYPERLINK("https://en.wikipedia.org/wiki/The_Hive_(video_game)","Wikipedia")</x:f>
        <x:v>Wikipedia</x:v>
      </x:c>
      <x:c r="BF221" s="11" t="str">
        <x:f>HYPERLINK("https://backloggd.com/search/games/The%20Hive/","Backloggd")</x:f>
        <x:v>Backloggd</x:v>
      </x:c>
      <x:c r="BG221" s="9"/>
      <x:c r="BH221" s="9"/>
      <x:c r="BI221" s="12" t="str">
        <x:v>No</x:v>
      </x:c>
      <x:c r="BJ221" s="12" t="str"/>
      <x:c r="BK221" s="12" t="str">
        <x:v>No</x:v>
      </x:c>
      <x:c r="BL221" s="12" t="str"/>
      <x:c r="BM221" s="12" t="str"/>
      <x:c r="BN221" s="12" t="str"/>
      <x:c r="BO221" s="12" t="str"/>
      <x:c r="BP221" s="12" t="str"/>
      <x:c r="BQ221" s="12" t="str"/>
    </x:row>
    <x:row r="222">
      <x:c r="A222" s="9" t="str">
        <x:v>ps1-9</x:v>
      </x:c>
      <x:c r="B222" s="9" t="str">
        <x:v>area-51</x:v>
      </x:c>
      <x:c r="C222" s="9" t="str">
        <x:v>PlayStation</x:v>
      </x:c>
      <x:c r="D222" s="9" t="str">
        <x:v>Area 51</x:v>
      </x:c>
      <x:c r="E222" s="9" t="str"/>
      <x:c r="F222" s="9" t="str">
        <x:v>Mesa Logic / Atari Games</x:v>
      </x:c>
      <x:c r="G222" s="9" t="str">
        <x:v>Midway Home Entertainment (NA); GT Interactive (EU); SoftBank (JP)</x:v>
      </x:c>
      <x:c r="H222" s="9" t="n">
        <x:v>1996</x:v>
      </x:c>
      <x:c r="I222" s="9" t="str">
        <x:v>Yes</x:v>
      </x:c>
      <x:c r="J222" s="9" t="str">
        <x:v>Yes</x:v>
      </x:c>
      <x:c r="K222" s="9" t="str">
        <x:v>Yes</x:v>
      </x:c>
      <x:c r="L222" s="9" t="str">
        <x:v>No</x:v>
      </x:c>
      <x:c r="M222" s="9" t="str">
        <x:v>Light-gun rail shooter</x:v>
      </x:c>
      <x:c r="N222" s="9" t="str">
        <x:v>Live-action + pre-rendered CG</x:v>
      </x:c>
      <x:c r="O222" s="9" t="n">
        <x:v>9</x:v>
      </x:c>
      <x:c r="P222" s="9" t="str">
        <x:v>Pre-rendered CG</x:v>
      </x:c>
      <x:c r="Q222" s="9" t="str">
        <x:v>Released</x:v>
      </x:c>
      <x:c r="R222" s="9" t="str">
        <x:v>Atari Games arcade (1995)</x:v>
      </x:c>
      <x:c r="S222" s="9" t="str">
        <x:v>Arcade, Saturn, Windows</x:v>
      </x:c>
      <x:c r="T222" s="9" t="str">
        <x:v>Live-action STAAR team briefing actors — verify names</x:v>
      </x:c>
      <x:c r="U222" s="9" t="n">
        <x:v>1</x:v>
      </x:c>
      <x:c r="V222" s="9" t="str">
        <x:v>No</x:v>
      </x:c>
      <x:c r="W222" s="9" t="str">
        <x:v>Standard controller; light gun: Konami HyperBlaster; PlayStation Mouse; memory card (1 block)</x:v>
      </x:c>
      <x:c r="X222" s="9" t="str">
        <x:v>Low</x:v>
      </x:c>
      <x:c r="Y222" s="9" t="str"/>
      <x:c r="Z222" s="9" t="str">
        <x:v>20–30 min</x:v>
      </x:c>
      <x:c r="AA222" s="9" t="str">
        <x:v>The pizza-parlour gun game: blast alien-infected soldiers over streamed CG of a secret base.</x:v>
      </x:c>
      <x:c r="AB222" s="9" t="str">
        <x:v>Secret shooting codes (Kronn mode etc.) exist (verify inputs)</x:v>
      </x:c>
      <x:c r="AC222" s="9" t="str">
        <x:v>Streamed CG backgrounds with digitized live-action sprites; lower-res than arcade</x:v>
      </x:c>
      <x:c r="AD222" s="9" t="str">
        <x:v>Easy with continues; secret rooms add challenge</x:v>
      </x:c>
      <x:c r="AE222" s="9" t="str">
        <x:v>One main ending; a secret Kronn Hunter mode starts if you shoot only the three STAAR team members</x:v>
      </x:c>
      <x:c r="AF222" s="9" t="str">
        <x:v>Arcade was one of Atari Games' biggest late hits; Midway handled home versions after merging.</x:v>
      </x:c>
      <x:c r="AG222" s="9" t="str">
        <x:v>NA/PAL/JP</x:v>
      </x:c>
      <x:c r="AH222" s="9" t="str">
        <x:v>No</x:v>
      </x:c>
      <x:c r="AI222" s="9" t="str">
        <x:v>Easy</x:v>
      </x:c>
      <x:c r="AJ222" s="9"/>
      <x:c r="AK222" s="9" t="str"/>
      <x:c r="AL222" s="10" t="n">
        <x:v>10.81</x:v>
      </x:c>
      <x:c r="AM222" s="10" t="n">
        <x:v>17.06</x:v>
      </x:c>
      <x:c r="AN222" s="10" t="n">
        <x:v>120.99</x:v>
      </x:c>
      <x:c r="AO222" s="9" t="str">
        <x:v>2026-10-21</x:v>
      </x:c>
      <x:c r="AP222" s="11" t="str">
        <x:f>HYPERLINK("https://www.pricecharting.com/game/playstation/area-51","PriceCharting")</x:f>
        <x:v>PriceCharting</x:v>
      </x:c>
      <x:c r="AQ222" s="9"/>
      <x:c r="AR222" s="9"/>
      <x:c r="AS222" s="9"/>
      <x:c r="AT222" s="9"/>
      <x:c r="AU222" s="9"/>
      <x:c r="AV222" s="9"/>
      <x:c r="AW222" s="9"/>
      <x:c r="AX222" s="9"/>
      <x:c r="AY222" s="9"/>
      <x:c r="AZ222" s="9" t="str">
        <x:v>3.5</x:v>
      </x:c>
      <x:c r="BA222" s="11" t="str">
        <x:f>HYPERLINK("https://www.mobygames.com/search/?q=Area+51","MobyGames")</x:f>
        <x:v>MobyGames</x:v>
      </x:c>
      <x:c r="BB222" s="9" t="str">
        <x:v>33%</x:v>
      </x:c>
      <x:c r="BC222" s="9" t="str">
        <x:v>average of 3 reviews on Wikipedia (Allgame, CVG, NGen)</x:v>
      </x:c>
      <x:c r="BD222" s="9" t="str">
        <x:f>HYPERLINK("https://en.wikipedia.org/wiki/Area_51_%281995_video_game%29","Source")</x:f>
        <x:v>Source</x:v>
      </x:c>
      <x:c r="BE222" s="11" t="str">
        <x:f>HYPERLINK("https://en.wikipedia.org/wiki/Area_51_(1995_video_game)","Wikipedia")</x:f>
        <x:v>Wikipedia</x:v>
      </x:c>
      <x:c r="BF222" s="11" t="str">
        <x:f>HYPERLINK("https://backloggd.com/search/games/Area%2051/","Backloggd")</x:f>
        <x:v>Backloggd</x:v>
      </x:c>
      <x:c r="BG222" s="9"/>
      <x:c r="BH222" s="9"/>
      <x:c r="BI222" s="12" t="str">
        <x:v>No</x:v>
      </x:c>
      <x:c r="BJ222" s="12" t="str"/>
      <x:c r="BK222" s="12" t="str">
        <x:v>No</x:v>
      </x:c>
      <x:c r="BL222" s="12" t="str"/>
      <x:c r="BM222" s="12" t="str"/>
      <x:c r="BN222" s="12" t="str"/>
      <x:c r="BO222" s="12" t="str"/>
      <x:c r="BP222" s="12" t="str"/>
      <x:c r="BQ222" s="12" t="str"/>
    </x:row>
    <x:row r="223">
      <x:c r="A223" s="9" t="str">
        <x:v>ps1-10</x:v>
      </x:c>
      <x:c r="B223" s="9" t="str">
        <x:v>maximum-force</x:v>
      </x:c>
      <x:c r="C223" s="9" t="str">
        <x:v>PlayStation</x:v>
      </x:c>
      <x:c r="D223" s="9" t="str">
        <x:v>Maximum Force</x:v>
      </x:c>
      <x:c r="E223" s="9" t="str"/>
      <x:c r="F223" s="9" t="str">
        <x:v>Mesa Logic / Atari Games (arcade); PlayStation port by Tantalus Interactive</x:v>
      </x:c>
      <x:c r="G223" s="9" t="str">
        <x:v>Midway (NA); GT Interactive (EU)</x:v>
      </x:c>
      <x:c r="H223" s="9" t="n">
        <x:v>1997</x:v>
      </x:c>
      <x:c r="I223" s="9" t="str">
        <x:v>Yes</x:v>
      </x:c>
      <x:c r="J223" s="9" t="str">
        <x:v>No</x:v>
      </x:c>
      <x:c r="K223" s="9" t="str">
        <x:v>Yes</x:v>
      </x:c>
      <x:c r="L223" s="9" t="str">
        <x:v>No</x:v>
      </x:c>
      <x:c r="M223" s="9" t="str">
        <x:v>Light-gun rail shooter</x:v>
      </x:c>
      <x:c r="N223" s="9" t="str">
        <x:v>Live-action + pre-rendered CG</x:v>
      </x:c>
      <x:c r="O223" s="9" t="n">
        <x:v>9</x:v>
      </x:c>
      <x:c r="P223" s="9" t="str">
        <x:v>Pre-rendered CG</x:v>
      </x:c>
      <x:c r="Q223" s="9" t="str">
        <x:v>Released</x:v>
      </x:c>
      <x:c r="R223" s="9" t="str">
        <x:v>Atari Games arcade (1997)</x:v>
      </x:c>
      <x:c r="S223" s="9" t="str">
        <x:v>Arcade, Saturn, Windows</x:v>
      </x:c>
      <x:c r="T223" s="9" t="str">
        <x:v>—</x:v>
      </x:c>
      <x:c r="U223" s="9" t="n">
        <x:v>1</x:v>
      </x:c>
      <x:c r="V223" s="9" t="str">
        <x:v>No</x:v>
      </x:c>
      <x:c r="W223" s="9" t="str">
        <x:v>Standard controller (analog compatible); light gun (PAL model SLEH-00005); memory card (1 block)</x:v>
      </x:c>
      <x:c r="X223" s="9" t="str">
        <x:v>Low</x:v>
      </x:c>
      <x:c r="Y223" s="9" t="str"/>
      <x:c r="Z223" s="9" t="str">
        <x:v>20–30 min</x:v>
      </x:c>
      <x:c r="AA223" s="9" t="str">
        <x:v>Area 51's successor swaps aliens for terrorists, with even more digitized goons over streamed video.</x:v>
      </x:c>
      <x:c r="AB223" s="9" t="str">
        <x:v>None known</x:v>
      </x:c>
      <x:c r="AC223" s="9" t="str">
        <x:v>Pre-rendered 3D backgrounds with digitized video sprites for enemies and innocents</x:v>
      </x:c>
      <x:c r="AD223" s="9" t="str">
        <x:v>Easy-moderate</x:v>
      </x:c>
      <x:c r="AE223" s="9" t="str">
        <x:v>Linear</x:v>
      </x:c>
      <x:c r="AF223" s="9" t="str">
        <x:v>Built on the same tech as Area 51; in 1998 Atari Games paired the two in the Area 51 / Maximum Force Duo arcade cabinet.</x:v>
      </x:c>
      <x:c r="AG223" s="9" t="str">
        <x:v>NA SLUS-00503 (Maximum Force: Pull the Trigger on the disc); PAL SLES-01001 (English, French, Italian, Spanish)</x:v>
      </x:c>
      <x:c r="AH223" s="9" t="str">
        <x:v>No</x:v>
      </x:c>
      <x:c r="AI223" s="9" t="str">
        <x:v>Easy</x:v>
      </x:c>
      <x:c r="AJ223" s="9"/>
      <x:c r="AK223" s="9" t="str"/>
      <x:c r="AL223" s="10" t="n">
        <x:v>15</x:v>
      </x:c>
      <x:c r="AM223" s="10" t="n">
        <x:v>23.95</x:v>
      </x:c>
      <x:c r="AN223" s="10" t="n">
        <x:v>64.22</x:v>
      </x:c>
      <x:c r="AO223" s="9" t="str">
        <x:v>2026-10-21</x:v>
      </x:c>
      <x:c r="AP223" s="11" t="str">
        <x:f>HYPERLINK("https://www.pricecharting.com/game/playstation/maximum-force-pull-the-trigger","PriceCharting")</x:f>
        <x:v>PriceCharting</x:v>
      </x:c>
      <x:c r="AQ223" s="9"/>
      <x:c r="AR223" s="9"/>
      <x:c r="AS223" s="9"/>
      <x:c r="AT223" s="9"/>
      <x:c r="AU223" s="9"/>
      <x:c r="AV223" s="9"/>
      <x:c r="AW223" s="9"/>
      <x:c r="AX223" s="9"/>
      <x:c r="AY223" s="9" t="str">
        <x:v>56%</x:v>
      </x:c>
      <x:c r="AZ223" s="9"/>
      <x:c r="BA223" s="11" t="str">
        <x:f>HYPERLINK("https://www.mobygames.com/search/?q=Maximum+Force","MobyGames")</x:f>
        <x:v>MobyGames</x:v>
      </x:c>
      <x:c r="BB223" s="9" t="str">
        <x:v>45%</x:v>
      </x:c>
      <x:c r="BC223" s="9" t="str">
        <x:v>GameRankings, 5 reviews</x:v>
      </x:c>
      <x:c r="BD223" s="9" t="str">
        <x:f>HYPERLINK("https://web.archive.org/web/20191209015817id_/https://www.gamerankings.com/ps/197876-maximum-force/","Source")</x:f>
        <x:v>Source</x:v>
      </x:c>
      <x:c r="BE223" s="11" t="str">
        <x:f>HYPERLINK("https://en.wikipedia.org/wiki/Maximum_Force","Wikipedia")</x:f>
        <x:v>Wikipedia</x:v>
      </x:c>
      <x:c r="BF223" s="11" t="str">
        <x:f>HYPERLINK("https://backloggd.com/search/games/Maximum%20Force/","Backloggd")</x:f>
        <x:v>Backloggd</x:v>
      </x:c>
      <x:c r="BG223" s="9"/>
      <x:c r="BH223" s="9"/>
      <x:c r="BI223" s="12" t="str">
        <x:v>No</x:v>
      </x:c>
      <x:c r="BJ223" s="12" t="str"/>
      <x:c r="BK223" s="12" t="str">
        <x:v>No</x:v>
      </x:c>
      <x:c r="BL223" s="12" t="str"/>
      <x:c r="BM223" s="12" t="str"/>
      <x:c r="BN223" s="12" t="str"/>
      <x:c r="BO223" s="12" t="str"/>
      <x:c r="BP223" s="12" t="str"/>
      <x:c r="BQ223" s="12" t="str"/>
    </x:row>
    <x:row r="224">
      <x:c r="A224" s="9" t="str">
        <x:v>ps1-11</x:v>
      </x:c>
      <x:c r="B224" s="9" t="str">
        <x:v>wing-commander-iii-heart-of-the-tiger</x:v>
      </x:c>
      <x:c r="C224" s="9" t="str">
        <x:v>PlayStation</x:v>
      </x:c>
      <x:c r="D224" s="9" t="str">
        <x:v>Wing Commander III: Heart of the Tiger</x:v>
      </x:c>
      <x:c r="E224" s="9" t="str"/>
      <x:c r="F224" s="9" t="str">
        <x:v>Origin Systems</x:v>
      </x:c>
      <x:c r="G224" s="9" t="str">
        <x:v>Electronic Arts (NA/EU); Electronic Arts Victor (JP)</x:v>
      </x:c>
      <x:c r="H224" s="9" t="n">
        <x:v>1996</x:v>
      </x:c>
      <x:c r="I224" s="9" t="str">
        <x:v>Yes</x:v>
      </x:c>
      <x:c r="J224" s="9" t="str">
        <x:v>Yes</x:v>
      </x:c>
      <x:c r="K224" s="9" t="str">
        <x:v>Yes</x:v>
      </x:c>
      <x:c r="L224" s="9" t="str">
        <x:v>No</x:v>
      </x:c>
      <x:c r="M224" s="9" t="str">
        <x:v>Space combat sim / interactive movie</x:v>
      </x:c>
      <x:c r="N224" s="9" t="str">
        <x:v>Live-action + CG</x:v>
      </x:c>
      <x:c r="O224" s="9" t="n">
        <x:v>7</x:v>
      </x:c>
      <x:c r="P224" s="9" t="str">
        <x:v>Interactive movie</x:v>
      </x:c>
      <x:c r="Q224" s="9" t="str">
        <x:v>Released</x:v>
      </x:c>
      <x:c r="R224" s="9" t="str">
        <x:v>PC original (1994)</x:v>
      </x:c>
      <x:c r="S224" s="9" t="str">
        <x:v>DOS, Mac, 3DO</x:v>
      </x:c>
      <x:c r="T224" s="9" t="str">
        <x:v>Mark Hamill, Malcolm McDowell, John Rhys-Davies, Tom Wilson, Ginger Lynn Allen, Jason Bernard</x:v>
      </x:c>
      <x:c r="U224" s="9" t="n">
        <x:v>4</x:v>
      </x:c>
      <x:c r="V224" s="9" t="str">
        <x:v>Yes (memory card)</x:v>
      </x:c>
      <x:c r="W224" s="9" t="str">
        <x:v>Standard controller</x:v>
      </x:c>
      <x:c r="X224" s="9" t="str">
        <x:v>Low–Med</x:v>
      </x:c>
      <x:c r="Y224" s="9" t="str">
        <x:v>Original score; low risk</x:v>
      </x:c>
      <x:c r="Z224" s="9" t="str">
        <x:v>15–20 hr</x:v>
      </x:c>
      <x:c r="AA224" s="9" t="str">
        <x:v>Luke Skywalker vs. a tiger-alien empire, with Biff Tannen as your wingman: peak 90s FMV star power.</x:v>
      </x:c>
      <x:c r="AB224" s="9" t="str">
        <x:v>None known</x:v>
      </x:c>
      <x:c r="AC224" s="9" t="str">
        <x:v>Full-screen-ish interlaced live-action on rendered sets — verify</x:v>
      </x:c>
      <x:c r="AD224" s="9" t="str">
        <x:v>Moderate; some missions very hard on pad</x:v>
      </x:c>
      <x:c r="AE224" s="9" t="str">
        <x:v>Branching dialogue choices; winning/losing paths</x:v>
      </x:c>
      <x:c r="AF224" s="9" t="str">
        <x:v>Budget around $4 million; Chris Roberts directed the FMV himself.</x:v>
      </x:c>
      <x:c r="AG224" s="9" t="str">
        <x:v>NA/PAL/JP</x:v>
      </x:c>
      <x:c r="AH224" s="9" t="str">
        <x:v>No (PC version on GOG)</x:v>
      </x:c>
      <x:c r="AI224" s="9" t="str">
        <x:v>Easy</x:v>
      </x:c>
      <x:c r="AJ224" s="9"/>
      <x:c r="AK224" s="9" t="str"/>
      <x:c r="AL224" s="10" t="n">
        <x:v>20.4</x:v>
      </x:c>
      <x:c r="AM224" s="10" t="n">
        <x:v>29.99</x:v>
      </x:c>
      <x:c r="AN224" s="10" t="n">
        <x:v>78</x:v>
      </x:c>
      <x:c r="AO224" s="9" t="str">
        <x:v>2026-10-21</x:v>
      </x:c>
      <x:c r="AP224" s="11" t="str">
        <x:f>HYPERLINK("https://www.pricecharting.com/game/playstation/wing-commander-iii-heart-of-the-tiger","PriceCharting")</x:f>
        <x:v>PriceCharting</x:v>
      </x:c>
      <x:c r="AQ224" s="9"/>
      <x:c r="AR224" s="9"/>
      <x:c r="AS224" s="9"/>
      <x:c r="AT224" s="9"/>
      <x:c r="AU224" s="9"/>
      <x:c r="AV224" s="9"/>
      <x:c r="AW224" s="9"/>
      <x:c r="AX224" s="9"/>
      <x:c r="AY224" s="9"/>
      <x:c r="AZ224" s="9" t="str">
        <x:v>3.1</x:v>
      </x:c>
      <x:c r="BA224" s="11" t="str">
        <x:f>HYPERLINK("https://www.mobygames.com/search/?q=Wing+Commander+III%3A+Heart+of+the+Tiger","MobyGames")</x:f>
        <x:v>MobyGames</x:v>
      </x:c>
      <x:c r="BB224" s="9"/>
      <x:c r="BC224" s="9"/>
      <x:c r="BD224" s="9"/>
      <x:c r="BE224" s="11" t="str">
        <x:f>HYPERLINK("https://en.wikipedia.org/wiki/Wing_Commander_III:_Heart_of_the_Tiger","Wikipedia")</x:f>
        <x:v>Wikipedia</x:v>
      </x:c>
      <x:c r="BF224" s="11" t="str">
        <x:f>HYPERLINK("https://backloggd.com/search/games/Wing%20Commander%20III%3A%20Heart%20of%20the%20Tiger/","Backloggd")</x:f>
        <x:v>Backloggd</x:v>
      </x:c>
      <x:c r="BG224" s="9"/>
      <x:c r="BH224" s="9"/>
      <x:c r="BI224" s="12" t="str">
        <x:v>No</x:v>
      </x:c>
      <x:c r="BJ224" s="12" t="str"/>
      <x:c r="BK224" s="12" t="str">
        <x:v>No</x:v>
      </x:c>
      <x:c r="BL224" s="12" t="str"/>
      <x:c r="BM224" s="12" t="str"/>
      <x:c r="BN224" s="12" t="str"/>
      <x:c r="BO224" s="12" t="str"/>
      <x:c r="BP224" s="12" t="str"/>
      <x:c r="BQ224" s="12" t="str"/>
    </x:row>
    <x:row r="225">
      <x:c r="A225" s="9" t="str">
        <x:v>ps1-12</x:v>
      </x:c>
      <x:c r="B225" s="9" t="str">
        <x:v>wing-commander-iv-the-price-of-freedom</x:v>
      </x:c>
      <x:c r="C225" s="9" t="str">
        <x:v>PlayStation</x:v>
      </x:c>
      <x:c r="D225" s="9" t="str">
        <x:v>Wing Commander IV: The Price of Freedom</x:v>
      </x:c>
      <x:c r="E225" s="9" t="str"/>
      <x:c r="F225" s="9" t="str">
        <x:v>Origin Systems</x:v>
      </x:c>
      <x:c r="G225" s="9" t="str">
        <x:v>Electronic Arts (NA/EU)</x:v>
      </x:c>
      <x:c r="H225" s="9" t="n">
        <x:v>1997</x:v>
      </x:c>
      <x:c r="I225" s="9" t="str">
        <x:v>Yes</x:v>
      </x:c>
      <x:c r="J225" s="9" t="str">
        <x:v>No</x:v>
      </x:c>
      <x:c r="K225" s="9" t="str">
        <x:v>Yes</x:v>
      </x:c>
      <x:c r="L225" s="9" t="str">
        <x:v>No</x:v>
      </x:c>
      <x:c r="M225" s="9" t="str">
        <x:v>Space combat sim / interactive movie</x:v>
      </x:c>
      <x:c r="N225" s="9" t="str">
        <x:v>Live-action</x:v>
      </x:c>
      <x:c r="O225" s="9" t="n">
        <x:v>7</x:v>
      </x:c>
      <x:c r="P225" s="9" t="str">
        <x:v>Interactive movie</x:v>
      </x:c>
      <x:c r="Q225" s="9" t="str">
        <x:v>Released</x:v>
      </x:c>
      <x:c r="R225" s="9" t="str">
        <x:v>PC original (1996)</x:v>
      </x:c>
      <x:c r="S225" s="9" t="str">
        <x:v>DOS, Windows, Mac</x:v>
      </x:c>
      <x:c r="T225" s="9" t="str">
        <x:v>Mark Hamill, Malcolm McDowell, Tom Wilson, Jason Bernard, Robert Rusler, Elizabeth Barondes, Chris Mulkey</x:v>
      </x:c>
      <x:c r="U225" s="9" t="n">
        <x:v>4</x:v>
      </x:c>
      <x:c r="V225" s="9" t="str">
        <x:v>Yes (memory card)</x:v>
      </x:c>
      <x:c r="W225" s="9" t="str">
        <x:v>Standard controller</x:v>
      </x:c>
      <x:c r="X225" s="9" t="str">
        <x:v>Low–Med</x:v>
      </x:c>
      <x:c r="Y225" s="9" t="str"/>
      <x:c r="Z225" s="9" t="str">
        <x:v>15–20 hr</x:v>
      </x:c>
      <x:c r="AA225" s="9" t="str">
        <x:v>A $12 million space opera shot on real sets with film cameras — the most expensive FMV game ever made.</x:v>
      </x:c>
      <x:c r="AB225" s="9" t="str">
        <x:v>None known</x:v>
      </x:c>
      <x:c r="AC225" s="9" t="str">
        <x:v>Live-action on 35mm sets; PS1 compression visibly softer than PC — verify</x:v>
      </x:c>
      <x:c r="AD225" s="9" t="str">
        <x:v>Moderate</x:v>
      </x:c>
      <x:c r="AE225" s="9" t="str">
        <x:v>Branching choices; multiple endings</x:v>
      </x:c>
      <x:c r="AF225" s="9" t="str">
        <x:v>Budget around $12 million, shot on real sets rather than bluescreen unlike WC3.</x:v>
      </x:c>
      <x:c r="AG225" s="9" t="str">
        <x:v>NA (SLUS-00270-3) and PAL (SLES-00659) 4-disc releases; PlayStation Network re-release in North America (2009)</x:v>
      </x:c>
      <x:c r="AH225" s="9" t="str">
        <x:v>No (PC version on GOG)</x:v>
      </x:c>
      <x:c r="AI225" s="9" t="str">
        <x:v>Easy</x:v>
      </x:c>
      <x:c r="AJ225" s="9"/>
      <x:c r="AK225" s="9" t="str"/>
      <x:c r="AL225" s="10" t="n">
        <x:v>24.95</x:v>
      </x:c>
      <x:c r="AM225" s="10" t="n">
        <x:v>30</x:v>
      </x:c>
      <x:c r="AN225" s="10" t="n">
        <x:v>71.99</x:v>
      </x:c>
      <x:c r="AO225" s="9" t="str">
        <x:v>2026-10-21</x:v>
      </x:c>
      <x:c r="AP225" s="11" t="str">
        <x:f>HYPERLINK("https://www.pricecharting.com/game/playstation/wing-commander-iv","PriceCharting")</x:f>
        <x:v>PriceCharting</x:v>
      </x:c>
      <x:c r="AQ225" s="9"/>
      <x:c r="AR225" s="9"/>
      <x:c r="AS225" s="9"/>
      <x:c r="AT225" s="9"/>
      <x:c r="AU225" s="9"/>
      <x:c r="AV225" s="9"/>
      <x:c r="AW225" s="9"/>
      <x:c r="AX225" s="9"/>
      <x:c r="AY225" s="9" t="str">
        <x:v>82%</x:v>
      </x:c>
      <x:c r="AZ225" s="9" t="str">
        <x:v>2.8</x:v>
      </x:c>
      <x:c r="BA225" s="11" t="str">
        <x:f>HYPERLINK("https://www.mobygames.com/search/?q=Wing+Commander+IV%3A+The+Price+of+Freedom","MobyGames")</x:f>
        <x:v>MobyGames</x:v>
      </x:c>
      <x:c r="BB225" s="9" t="str">
        <x:v>66%</x:v>
      </x:c>
      <x:c r="BC225" s="9" t="str">
        <x:v>GameRankings, 5 reviews</x:v>
      </x:c>
      <x:c r="BD225" s="9" t="str">
        <x:f>HYPERLINK("https://web.archive.org/web/20191209011237id_/https://www.gamerankings.com/ps/199308-wing-commander-iv-the-price-of-freedom/","Source")</x:f>
        <x:v>Source</x:v>
      </x:c>
      <x:c r="BE225" s="11" t="str">
        <x:f>HYPERLINK("https://en.wikipedia.org/wiki/Wing_Commander_IV:_The_Price_of_Freedom","Wikipedia")</x:f>
        <x:v>Wikipedia</x:v>
      </x:c>
      <x:c r="BF225" s="11" t="str">
        <x:f>HYPERLINK("https://backloggd.com/search/games/Wing%20Commander%20IV%3A%20The%20Price%20of%20Freedom/","Backloggd")</x:f>
        <x:v>Backloggd</x:v>
      </x:c>
      <x:c r="BG225" s="9"/>
      <x:c r="BH225" s="9"/>
      <x:c r="BI225" s="12" t="str">
        <x:v>No</x:v>
      </x:c>
      <x:c r="BJ225" s="12" t="str"/>
      <x:c r="BK225" s="12" t="str">
        <x:v>No</x:v>
      </x:c>
      <x:c r="BL225" s="12" t="str"/>
      <x:c r="BM225" s="12" t="str"/>
      <x:c r="BN225" s="12" t="str"/>
      <x:c r="BO225" s="12" t="str"/>
      <x:c r="BP225" s="12" t="str"/>
      <x:c r="BQ225" s="12" t="str"/>
    </x:row>
    <x:row r="226">
      <x:c r="A226" s="9" t="str">
        <x:v>ps1-13</x:v>
      </x:c>
      <x:c r="B226" s="9" t="str">
        <x:v>myst</x:v>
      </x:c>
      <x:c r="C226" s="9" t="str">
        <x:v>PlayStation</x:v>
      </x:c>
      <x:c r="D226" s="9" t="str">
        <x:v>Myst</x:v>
      </x:c>
      <x:c r="E226" s="9" t="str"/>
      <x:c r="F226" s="9" t="str">
        <x:v>Cyan (PlayStation port by Alfa System)</x:v>
      </x:c>
      <x:c r="G226" s="9" t="str">
        <x:v>SoftBank (JP); Psygnosis (NA/EU)</x:v>
      </x:c>
      <x:c r="H226" s="9" t="n">
        <x:v>1995</x:v>
      </x:c>
      <x:c r="I226" s="9" t="str">
        <x:v>Yes</x:v>
      </x:c>
      <x:c r="J226" s="9" t="str">
        <x:v>Yes</x:v>
      </x:c>
      <x:c r="K226" s="9" t="str">
        <x:v>Yes</x:v>
      </x:c>
      <x:c r="L226" s="9" t="str">
        <x:v>No</x:v>
      </x:c>
      <x:c r="M226" s="9" t="str">
        <x:v>First-person puzzle adventure</x:v>
      </x:c>
      <x:c r="N226" s="9" t="str">
        <x:v>Live-action + pre-rendered CG</x:v>
      </x:c>
      <x:c r="O226" s="9" t="n">
        <x:v>4</x:v>
      </x:c>
      <x:c r="P226" s="9" t="str">
        <x:v>FMV adventure</x:v>
      </x:c>
      <x:c r="Q226" s="9" t="str">
        <x:v>Released</x:v>
      </x:c>
      <x:c r="R226" s="9" t="str">
        <x:v>Mac original (1993)</x:v>
      </x:c>
      <x:c r="S226" s="9" t="str">
        <x:v>Mac, Windows, Saturn, 3DO, Jaguar CD, CD-i, many later</x:v>
      </x:c>
      <x:c r="T226" s="9" t="str">
        <x:v>Rand Miller, Robyn Miller</x:v>
      </x:c>
      <x:c r="U226" s="9" t="n">
        <x:v>1</x:v>
      </x:c>
      <x:c r="V226" s="9" t="str">
        <x:v>Yes (memory card)</x:v>
      </x:c>
      <x:c r="W226" s="9" t="str">
        <x:v>Standard controller; PlayStation Mouse; memory card (1 block)</x:v>
      </x:c>
      <x:c r="X226" s="9" t="str">
        <x:v>Low</x:v>
      </x:c>
      <x:c r="Y226" s="9" t="str"/>
      <x:c r="Z226" s="9" t="str">
        <x:v>3–6 hr</x:v>
      </x:c>
      <x:c r="AA226" s="9" t="str">
        <x:v>The game that sold the CD-ROM, with Atrus's sons pleading through flickering video books.</x:v>
      </x:c>
      <x:c r="AB226" s="9" t="str">
        <x:v>None known</x:v>
      </x:c>
      <x:c r="AC226" s="9" t="str">
        <x:v>Pre-rendered stills with small live-action QuickTime-style clips — verify</x:v>
      </x:c>
      <x:c r="AD226" s="9" t="str">
        <x:v>Puzzles are hard without notes</x:v>
      </x:c>
      <x:c r="AE226" s="9" t="str">
        <x:v>Four endings (Sirrus, Achenar, Atrus trap, good ending)</x:v>
      </x:c>
      <x:c r="AF226" s="9" t="str">
        <x:v>The Miller brothers played Sirrus and Achenar themselves.</x:v>
      </x:c>
      <x:c r="AG226" s="9" t="str">
        <x:v>JP release first (Sunsoft, 1995); NA/PAL later</x:v>
      </x:c>
      <x:c r="AH226" s="9" t="str">
        <x:v>No for PS1 (Myst remakes on modern platforms)</x:v>
      </x:c>
      <x:c r="AI226" s="9" t="str">
        <x:v>Easy</x:v>
      </x:c>
      <x:c r="AJ226" s="9"/>
      <x:c r="AK226" s="9" t="str"/>
      <x:c r="AL226" s="10" t="n">
        <x:v>18.06</x:v>
      </x:c>
      <x:c r="AM226" s="10" t="n">
        <x:v>25.07</x:v>
      </x:c>
      <x:c r="AN226" s="10" t="n">
        <x:v>85</x:v>
      </x:c>
      <x:c r="AO226" s="9" t="str">
        <x:v>2026-10-21</x:v>
      </x:c>
      <x:c r="AP226" s="11" t="str">
        <x:f>HYPERLINK("https://www.pricecharting.com/game/playstation/myst","PriceCharting")</x:f>
        <x:v>PriceCharting</x:v>
      </x:c>
      <x:c r="AQ226" s="9"/>
      <x:c r="AR226" s="9"/>
      <x:c r="AS226" s="9"/>
      <x:c r="AT226" s="9"/>
      <x:c r="AU226" s="9"/>
      <x:c r="AV226" s="9"/>
      <x:c r="AW226" s="9"/>
      <x:c r="AX226" s="9"/>
      <x:c r="AY226" s="9"/>
      <x:c r="AZ226" s="9"/>
      <x:c r="BA226" s="11" t="str">
        <x:f>HYPERLINK("https://www.mobygames.com/search/?q=Myst","MobyGames")</x:f>
        <x:v>MobyGames</x:v>
      </x:c>
      <x:c r="BB226" s="9" t="str">
        <x:v>62%</x:v>
      </x:c>
      <x:c r="BC226" s="9" t="str">
        <x:v>GameRankings, 2 reviews</x:v>
      </x:c>
      <x:c r="BD226" s="9" t="str">
        <x:f>HYPERLINK("https://web.archive.org/web/20191209015436id_/https://www.gamerankings.com/ps/198021-myst/","Source")</x:f>
        <x:v>Source</x:v>
      </x:c>
      <x:c r="BE226" s="11" t="str">
        <x:f>HYPERLINK("https://en.wikipedia.org/wiki/Myst","Wikipedia")</x:f>
        <x:v>Wikipedia</x:v>
      </x:c>
      <x:c r="BF226" s="11" t="str">
        <x:f>HYPERLINK("https://backloggd.com/search/games/Myst/","Backloggd")</x:f>
        <x:v>Backloggd</x:v>
      </x:c>
      <x:c r="BG226" s="9"/>
      <x:c r="BH226" s="9"/>
      <x:c r="BI226" s="12" t="str">
        <x:v>No</x:v>
      </x:c>
      <x:c r="BJ226" s="12" t="str"/>
      <x:c r="BK226" s="12" t="str">
        <x:v>No</x:v>
      </x:c>
      <x:c r="BL226" s="12" t="str"/>
      <x:c r="BM226" s="12" t="str"/>
      <x:c r="BN226" s="12" t="str"/>
      <x:c r="BO226" s="12" t="str"/>
      <x:c r="BP226" s="12" t="str"/>
      <x:c r="BQ226" s="12" t="str"/>
    </x:row>
    <x:row r="227">
      <x:c r="A227" s="9" t="str">
        <x:v>ps1-14</x:v>
      </x:c>
      <x:c r="B227" s="9" t="str">
        <x:v>riven-the-sequel-to-myst</x:v>
      </x:c>
      <x:c r="C227" s="9" t="str">
        <x:v>PlayStation</x:v>
      </x:c>
      <x:c r="D227" s="9" t="str">
        <x:v>Riven: The Sequel to Myst</x:v>
      </x:c>
      <x:c r="E227" s="9" t="str"/>
      <x:c r="F227" s="9" t="str">
        <x:v>Cyan (original); PlayStation version developed by Sunsoft</x:v>
      </x:c>
      <x:c r="G227" s="9" t="str">
        <x:v>Acclaim (NA/EU); Sunsoft (JP)</x:v>
      </x:c>
      <x:c r="H227" s="9" t="n">
        <x:v>1998</x:v>
      </x:c>
      <x:c r="I227" s="9" t="str">
        <x:v>Yes</x:v>
      </x:c>
      <x:c r="J227" s="9" t="str">
        <x:v>Yes</x:v>
      </x:c>
      <x:c r="K227" s="9" t="str">
        <x:v>Yes</x:v>
      </x:c>
      <x:c r="L227" s="9" t="str">
        <x:v>No</x:v>
      </x:c>
      <x:c r="M227" s="9" t="str">
        <x:v>First-person puzzle adventure</x:v>
      </x:c>
      <x:c r="N227" s="9" t="str">
        <x:v>Live-action + pre-rendered CG</x:v>
      </x:c>
      <x:c r="O227" s="9" t="n">
        <x:v>5</x:v>
      </x:c>
      <x:c r="P227" s="9" t="str">
        <x:v>FMV adventure</x:v>
      </x:c>
      <x:c r="Q227" s="9" t="str">
        <x:v>Released</x:v>
      </x:c>
      <x:c r="R227" s="9" t="str">
        <x:v>PC/Mac original (1997)</x:v>
      </x:c>
      <x:c r="S227" s="9" t="str">
        <x:v>Windows, Mac, Saturn (JP), later remakes</x:v>
      </x:c>
      <x:c r="T227" s="9" t="str">
        <x:v>John Keston (Gehn), Rand Miller (Atrus); Sheila Goold (Catherine, verify)</x:v>
      </x:c>
      <x:c r="U227" s="9" t="n">
        <x:v>5</x:v>
      </x:c>
      <x:c r="V227" s="9" t="str">
        <x:v>Yes (memory card)</x:v>
      </x:c>
      <x:c r="W227" s="9" t="str">
        <x:v>Standard controller; PlayStation Mouse; memory card (1 block)</x:v>
      </x:c>
      <x:c r="X227" s="9" t="str">
        <x:v>Low</x:v>
      </x:c>
      <x:c r="Y227" s="9" t="str"/>
      <x:c r="Z227" s="9" t="str">
        <x:v>6–10 hr</x:v>
      </x:c>
      <x:c r="AA227" s="9" t="str">
        <x:v>Five discs of pre-rendered island and live-action Gehn, one of the most technically lavish PS1 ports.</x:v>
      </x:c>
      <x:c r="AB227" s="9" t="str">
        <x:v>None known</x:v>
      </x:c>
      <x:c r="AC227" s="9" t="str">
        <x:v>Pre-rendered stills with live-action and CG clips — verify</x:v>
      </x:c>
      <x:c r="AD227" s="9" t="str">
        <x:v>Very hard puzzles</x:v>
      </x:c>
      <x:c r="AE227" s="9" t="str">
        <x:v>Multiple endings</x:v>
      </x:c>
      <x:c r="AF227" s="9" t="str">
        <x:v>John Keston, who played Gehn, was a stage actor whose performance is often cited as the series' best.</x:v>
      </x:c>
      <x:c r="AG227" s="9" t="str">
        <x:v>NA/PAL/JP; year/publisher verify</x:v>
      </x:c>
      <x:c r="AH227" s="9" t="str">
        <x:v>No for PS1</x:v>
      </x:c>
      <x:c r="AI227" s="9" t="str">
        <x:v>Easy</x:v>
      </x:c>
      <x:c r="AJ227" s="9"/>
      <x:c r="AK227" s="9" t="str">
        <x:v>Year and NA publisher need verification.</x:v>
      </x:c>
      <x:c r="AL227" s="10" t="n">
        <x:v>12.64</x:v>
      </x:c>
      <x:c r="AM227" s="10" t="n">
        <x:v>19.1</x:v>
      </x:c>
      <x:c r="AN227" s="10" t="n">
        <x:v>95</x:v>
      </x:c>
      <x:c r="AO227" s="9" t="str">
        <x:v>2026-10-21</x:v>
      </x:c>
      <x:c r="AP227" s="11" t="str">
        <x:f>HYPERLINK("https://www.pricecharting.com/game/playstation/riven-the-sequel-to-myst","PriceCharting")</x:f>
        <x:v>PriceCharting</x:v>
      </x:c>
      <x:c r="AQ227" s="9"/>
      <x:c r="AR227" s="9"/>
      <x:c r="AS227" s="9"/>
      <x:c r="AT227" s="9"/>
      <x:c r="AU227" s="9"/>
      <x:c r="AV227" s="9"/>
      <x:c r="AW227" s="9"/>
      <x:c r="AX227" s="9"/>
      <x:c r="AY227" s="9" t="str">
        <x:v>73%</x:v>
      </x:c>
      <x:c r="AZ227" s="9" t="str">
        <x:v>3.6</x:v>
      </x:c>
      <x:c r="BA227" s="11" t="str">
        <x:f>HYPERLINK("https://www.mobygames.com/search/?q=Riven%3A+The+Sequel+to+Myst","MobyGames")</x:f>
        <x:v>MobyGames</x:v>
      </x:c>
      <x:c r="BB227" s="9" t="str">
        <x:v>73%</x:v>
      </x:c>
      <x:c r="BC227" s="9" t="str">
        <x:v>GameRankings, 4 reviews</x:v>
      </x:c>
      <x:c r="BD227" s="9" t="str">
        <x:f>HYPERLINK("https://web.archive.org/web/20191209011936id_/https://www.gamerankings.com/ps/198489-riven-the-sequel-to-myst/","Source")</x:f>
        <x:v>Source</x:v>
      </x:c>
      <x:c r="BE227" s="11" t="str">
        <x:f>HYPERLINK("https://en.wikipedia.org/wiki/Riven","Wikipedia")</x:f>
        <x:v>Wikipedia</x:v>
      </x:c>
      <x:c r="BF227" s="11" t="str">
        <x:f>HYPERLINK("https://backloggd.com/search/games/Riven%3A%20The%20Sequel%20to%20Myst/","Backloggd")</x:f>
        <x:v>Backloggd</x:v>
      </x:c>
      <x:c r="BG227" s="9"/>
      <x:c r="BH227" s="9"/>
      <x:c r="BI227" s="12" t="str">
        <x:v>No</x:v>
      </x:c>
      <x:c r="BJ227" s="12" t="str"/>
      <x:c r="BK227" s="12" t="str">
        <x:v>No</x:v>
      </x:c>
      <x:c r="BL227" s="12" t="str"/>
      <x:c r="BM227" s="12" t="str"/>
      <x:c r="BN227" s="12" t="str"/>
      <x:c r="BO227" s="12" t="str"/>
      <x:c r="BP227" s="12" t="str"/>
      <x:c r="BQ227" s="12" t="str"/>
    </x:row>
    <x:row r="228">
      <x:c r="A228" s="9" t="str">
        <x:v>ps1-15</x:v>
      </x:c>
      <x:c r="B228" s="9" t="str">
        <x:v>time-commando</x:v>
      </x:c>
      <x:c r="C228" s="9" t="str">
        <x:v>PlayStation</x:v>
      </x:c>
      <x:c r="D228" s="9" t="str">
        <x:v>Time Commando</x:v>
      </x:c>
      <x:c r="E228" s="9" t="str"/>
      <x:c r="F228" s="9" t="str">
        <x:v>Adeline Software International</x:v>
      </x:c>
      <x:c r="G228" s="9" t="str">
        <x:v>Activision (NA); Electronic Arts (EU)</x:v>
      </x:c>
      <x:c r="H228" s="9" t="n">
        <x:v>1996</x:v>
      </x:c>
      <x:c r="I228" s="9" t="str">
        <x:v>Yes</x:v>
      </x:c>
      <x:c r="J228" s="9" t="str">
        <x:v>Yes</x:v>
      </x:c>
      <x:c r="K228" s="9" t="str">
        <x:v>Yes</x:v>
      </x:c>
      <x:c r="L228" s="9" t="str">
        <x:v>No</x:v>
      </x:c>
      <x:c r="M228" s="9" t="str">
        <x:v>Action / beat 'em up</x:v>
      </x:c>
      <x:c r="N228" s="9" t="str">
        <x:v>Pre-rendered CG</x:v>
      </x:c>
      <x:c r="O228" s="9" t="n">
        <x:v>6</x:v>
      </x:c>
      <x:c r="P228" s="9" t="str">
        <x:v>Pre-rendered CG</x:v>
      </x:c>
      <x:c r="Q228" s="9" t="str">
        <x:v>Released</x:v>
      </x:c>
      <x:c r="R228" s="9" t="str">
        <x:v>Original production (also PC)</x:v>
      </x:c>
      <x:c r="S228" s="9" t="str">
        <x:v>DOS/Windows</x:v>
      </x:c>
      <x:c r="T228" s="9" t="str">
        <x:v>—</x:v>
      </x:c>
      <x:c r="U228" s="9" t="n">
        <x:v>1</x:v>
      </x:c>
      <x:c r="V228" s="9" t="str">
        <x:v>Yes (memory card, 1 block)</x:v>
      </x:c>
      <x:c r="W228" s="9" t="str">
        <x:v>Standard controller</x:v>
      </x:c>
      <x:c r="X228" s="9" t="str">
        <x:v>Low</x:v>
      </x:c>
      <x:c r="Y228" s="9" t="str"/>
      <x:c r="Z228" s="9" t="str">
        <x:v>4–6 hr</x:v>
      </x:c>
      <x:c r="AA228" s="9" t="str">
        <x:v>A polygon fighter running through history over streamed video backgrounds that scroll as you walk.</x:v>
      </x:c>
      <x:c r="AB228" s="9" t="str">
        <x:v>None known</x:v>
      </x:c>
      <x:c r="AC228" s="9" t="str">
        <x:v>Full-screen streamed CG backgrounds behind polygonal characters</x:v>
      </x:c>
      <x:c r="AD228" s="9" t="str">
        <x:v>Hard; tank controls and limited lives</x:v>
      </x:c>
      <x:c r="AE228" s="9" t="str">
        <x:v>Linear</x:v>
      </x:c>
      <x:c r="AF228" s="9" t="str">
        <x:v>Made by Frédérick Raynal's Little Big Adventure studio, it streams video in real time as the backdrop.</x:v>
      </x:c>
      <x:c r="AG228" s="9" t="str">
        <x:v>NA/PAL/JP — verify</x:v>
      </x:c>
      <x:c r="AH228" s="9" t="str">
        <x:v>No</x:v>
      </x:c>
      <x:c r="AI228" s="9" t="str">
        <x:v>Easy</x:v>
      </x:c>
      <x:c r="AJ228" s="9"/>
      <x:c r="AK228" s="9" t="str"/>
      <x:c r="AL228" s="10" t="n">
        <x:v>6.34</x:v>
      </x:c>
      <x:c r="AM228" s="10" t="n">
        <x:v>10.78</x:v>
      </x:c>
      <x:c r="AN228" s="10" t="n">
        <x:v>39.99</x:v>
      </x:c>
      <x:c r="AO228" s="9" t="str">
        <x:v>2026-10-21</x:v>
      </x:c>
      <x:c r="AP228" s="11" t="str">
        <x:f>HYPERLINK("https://www.pricecharting.com/game/playstation/time-commando","PriceCharting")</x:f>
        <x:v>PriceCharting</x:v>
      </x:c>
      <x:c r="AQ228" s="9"/>
      <x:c r="AR228" s="9"/>
      <x:c r="AS228" s="9"/>
      <x:c r="AT228" s="9"/>
      <x:c r="AU228" s="9"/>
      <x:c r="AV228" s="9"/>
      <x:c r="AW228" s="9"/>
      <x:c r="AX228" s="9"/>
      <x:c r="AY228" s="9" t="str">
        <x:v>76%</x:v>
      </x:c>
      <x:c r="AZ228" s="9"/>
      <x:c r="BA228" s="11" t="str">
        <x:f>HYPERLINK("https://www.mobygames.com/search/?q=Time+Commando","MobyGames")</x:f>
        <x:v>MobyGames</x:v>
      </x:c>
      <x:c r="BB228" s="9" t="str">
        <x:v>73%</x:v>
      </x:c>
      <x:c r="BC228" s="9" t="str">
        <x:v>GameRankings, 4 reviews</x:v>
      </x:c>
      <x:c r="BD228" s="9" t="str">
        <x:f>HYPERLINK("https://web.archive.org/web/20191209015819id_/https://www.gamerankings.com/ps/199015-time-commando/","Source")</x:f>
        <x:v>Source</x:v>
      </x:c>
      <x:c r="BE228" s="11" t="str">
        <x:f>HYPERLINK("https://en.wikipedia.org/wiki/Time_Commando","Wikipedia")</x:f>
        <x:v>Wikipedia</x:v>
      </x:c>
      <x:c r="BF228" s="11" t="str">
        <x:f>HYPERLINK("https://backloggd.com/search/games/Time%20Commando/","Backloggd")</x:f>
        <x:v>Backloggd</x:v>
      </x:c>
      <x:c r="BG228" s="9"/>
      <x:c r="BH228" s="9"/>
      <x:c r="BI228" s="12" t="str">
        <x:v>No</x:v>
      </x:c>
      <x:c r="BJ228" s="12" t="str"/>
      <x:c r="BK228" s="12" t="str">
        <x:v>No</x:v>
      </x:c>
      <x:c r="BL228" s="12" t="str"/>
      <x:c r="BM228" s="12" t="str"/>
      <x:c r="BN228" s="12" t="str"/>
      <x:c r="BO228" s="12" t="str"/>
      <x:c r="BP228" s="12" t="str"/>
      <x:c r="BQ228" s="12" t="str"/>
    </x:row>
    <x:row r="229">
      <x:c r="A229" s="9" t="str">
        <x:v>ps1-16</x:v>
      </x:c>
      <x:c r="B229" s="9" t="str">
        <x:v>philosoma</x:v>
      </x:c>
      <x:c r="C229" s="9" t="str">
        <x:v>PlayStation</x:v>
      </x:c>
      <x:c r="D229" s="9" t="str">
        <x:v>Philosoma</x:v>
      </x:c>
      <x:c r="E229" s="9" t="str">
        <x:v>フィロソマ</x:v>
      </x:c>
      <x:c r="F229" s="9" t="str">
        <x:v>G-Artists</x:v>
      </x:c>
      <x:c r="G229" s="9" t="str">
        <x:v>Sony Computer Entertainment</x:v>
      </x:c>
      <x:c r="H229" s="9" t="n">
        <x:v>1995</x:v>
      </x:c>
      <x:c r="I229" s="9" t="str">
        <x:v>Yes</x:v>
      </x:c>
      <x:c r="J229" s="9" t="str">
        <x:v>Yes</x:v>
      </x:c>
      <x:c r="K229" s="9" t="str">
        <x:v>Yes</x:v>
      </x:c>
      <x:c r="L229" s="9" t="str">
        <x:v>No</x:v>
      </x:c>
      <x:c r="M229" s="9" t="str">
        <x:v>Shoot 'em up</x:v>
      </x:c>
      <x:c r="N229" s="9" t="str">
        <x:v>Pre-rendered CG</x:v>
      </x:c>
      <x:c r="O229" s="9" t="n">
        <x:v>4</x:v>
      </x:c>
      <x:c r="P229" s="9" t="str">
        <x:v>Pre-rendered CG</x:v>
      </x:c>
      <x:c r="Q229" s="9" t="str">
        <x:v>Released</x:v>
      </x:c>
      <x:c r="R229" s="9" t="str">
        <x:v>Original production</x:v>
      </x:c>
      <x:c r="S229" s="9" t="str">
        <x:v>—</x:v>
      </x:c>
      <x:c r="T229" s="9" t="str">
        <x:v>—</x:v>
      </x:c>
      <x:c r="U229" s="9" t="n">
        <x:v>1</x:v>
      </x:c>
      <x:c r="V229" s="9" t="str">
        <x:v>Yes (memory card, 1 block)</x:v>
      </x:c>
      <x:c r="W229" s="9" t="str">
        <x:v>Standard controller</x:v>
      </x:c>
      <x:c r="X229" s="9" t="str">
        <x:v>Low</x:v>
      </x:c>
      <x:c r="Y229" s="9" t="str"/>
      <x:c r="Z229" s="9" t="str">
        <x:v>1 hr</x:v>
      </x:c>
      <x:c r="AA229" s="9" t="str">
        <x:v>A shmup that switches perspective mid-level through seamless CG movies, early PS1 showcase.</x:v>
      </x:c>
      <x:c r="AB229" s="9" t="str">
        <x:v>None known</x:v>
      </x:c>
      <x:c r="AC229" s="9" t="str">
        <x:v>CG movies bridging vertical, horizontal and behind-ship stages — verify</x:v>
      </x:c>
      <x:c r="AD229" s="9" t="str">
        <x:v>Hard</x:v>
      </x:c>
      <x:c r="AE229" s="9" t="str">
        <x:v>Linear</x:v>
      </x:c>
      <x:c r="AF229" s="9" t="str">
        <x:v>One of SCE's own launch-year showcase titles in Japan.</x:v>
      </x:c>
      <x:c r="AG229" s="9" t="str">
        <x:v>NA/PAL/JP</x:v>
      </x:c>
      <x:c r="AH229" s="9" t="str">
        <x:v>No</x:v>
      </x:c>
      <x:c r="AI229" s="9" t="str">
        <x:v>Easy</x:v>
      </x:c>
      <x:c r="AJ229" s="9"/>
      <x:c r="AK229" s="9" t="str">
        <x:v>FMV level is borderline (cutscene-heavy shooter); kept at 4 — verify against scope.</x:v>
      </x:c>
      <x:c r="AL229" s="10" t="n">
        <x:v>19.43</x:v>
      </x:c>
      <x:c r="AM229" s="10" t="n">
        <x:v>52</x:v>
      </x:c>
      <x:c r="AN229" s="10" t="n">
        <x:v>127.5</x:v>
      </x:c>
      <x:c r="AO229" s="9" t="str">
        <x:v>2026-10-21</x:v>
      </x:c>
      <x:c r="AP229" s="11" t="str">
        <x:f>HYPERLINK("https://www.pricecharting.com/game/playstation/philosoma","PriceCharting")</x:f>
        <x:v>PriceCharting</x:v>
      </x:c>
      <x:c r="AQ229" s="9"/>
      <x:c r="AR229" s="9"/>
      <x:c r="AS229" s="9"/>
      <x:c r="AT229" s="9"/>
      <x:c r="AU229" s="9"/>
      <x:c r="AV229" s="9"/>
      <x:c r="AW229" s="9"/>
      <x:c r="AX229" s="9"/>
      <x:c r="AY229" s="9" t="str">
        <x:v>68%</x:v>
      </x:c>
      <x:c r="AZ229" s="9"/>
      <x:c r="BA229" s="11" t="str">
        <x:f>HYPERLINK("https://www.mobygames.com/search/?q=Philosoma","MobyGames")</x:f>
        <x:v>MobyGames</x:v>
      </x:c>
      <x:c r="BB229" s="9" t="str">
        <x:v>63%</x:v>
      </x:c>
      <x:c r="BC229" s="9" t="str">
        <x:v>average of 13 reviews on Wikipedia (Allgame, EGM, EPD, Edge, Fam, GP, GameFan, IGN, Maximum, NGen, Play, Ultimate Future Games, VideoGames)</x:v>
      </x:c>
      <x:c r="BD229" s="9" t="str">
        <x:f>HYPERLINK("https://en.wikipedia.org/wiki/Philosoma","Source")</x:f>
        <x:v>Source</x:v>
      </x:c>
      <x:c r="BE229" s="11" t="str">
        <x:f>HYPERLINK("https://en.wikipedia.org/wiki/Philosoma","Wikipedia")</x:f>
        <x:v>Wikipedia</x:v>
      </x:c>
      <x:c r="BF229" s="11" t="str">
        <x:f>HYPERLINK("https://backloggd.com/search/games/Philosoma/","Backloggd")</x:f>
        <x:v>Backloggd</x:v>
      </x:c>
      <x:c r="BG229" s="9"/>
      <x:c r="BH229" s="9"/>
      <x:c r="BI229" s="12" t="str">
        <x:v>No</x:v>
      </x:c>
      <x:c r="BJ229" s="12" t="str"/>
      <x:c r="BK229" s="12" t="str">
        <x:v>No</x:v>
      </x:c>
      <x:c r="BL229" s="12" t="str"/>
      <x:c r="BM229" s="12" t="str"/>
      <x:c r="BN229" s="12" t="str"/>
      <x:c r="BO229" s="12" t="str"/>
      <x:c r="BP229" s="12" t="str"/>
      <x:c r="BQ229" s="12" t="str"/>
    </x:row>
    <x:row r="230">
      <x:c r="A230" s="9" t="str">
        <x:v>ps1-17</x:v>
      </x:c>
      <x:c r="B230" s="9" t="str">
        <x:v>d</x:v>
      </x:c>
      <x:c r="C230" s="9" t="str">
        <x:v>PlayStation</x:v>
      </x:c>
      <x:c r="D230" s="9" t="str">
        <x:v>D</x:v>
      </x:c>
      <x:c r="E230" s="9" t="str">
        <x:v>D no Shokutaku (D's Dining Table)</x:v>
      </x:c>
      <x:c r="F230" s="9" t="str">
        <x:v>WARP</x:v>
      </x:c>
      <x:c r="G230" s="9" t="str">
        <x:v>Acclaim Entertainment (JP/NA/EU)</x:v>
      </x:c>
      <x:c r="H230" s="9" t="n">
        <x:v>1995</x:v>
      </x:c>
      <x:c r="I230" s="9" t="str">
        <x:v>Yes</x:v>
      </x:c>
      <x:c r="J230" s="9" t="str">
        <x:v>Yes</x:v>
      </x:c>
      <x:c r="K230" s="9" t="str">
        <x:v>Yes</x:v>
      </x:c>
      <x:c r="L230" s="9" t="str">
        <x:v>No</x:v>
      </x:c>
      <x:c r="M230" s="9" t="str">
        <x:v>Horror interactive movie</x:v>
      </x:c>
      <x:c r="N230" s="9" t="str">
        <x:v>Pre-rendered CG</x:v>
      </x:c>
      <x:c r="O230" s="9" t="n">
        <x:v>8</x:v>
      </x:c>
      <x:c r="P230" s="9" t="str">
        <x:v>Interactive movie</x:v>
      </x:c>
      <x:c r="Q230" s="9" t="str">
        <x:v>Released</x:v>
      </x:c>
      <x:c r="R230" s="9" t="str">
        <x:v>Original production (3DO original, 1995)</x:v>
      </x:c>
      <x:c r="S230" s="9" t="str">
        <x:v>3DO, Saturn, DOS/Windows</x:v>
      </x:c>
      <x:c r="T230" s="9" t="str">
        <x:v>—</x:v>
      </x:c>
      <x:c r="U230" s="9" t="n">
        <x:v>2</x:v>
      </x:c>
      <x:c r="V230" s="9" t="str">
        <x:v>No (must finish in 2 hours real time)</x:v>
      </x:c>
      <x:c r="W230" s="9" t="str">
        <x:v>Standard controller</x:v>
      </x:c>
      <x:c r="X230" s="9" t="str">
        <x:v>Low</x:v>
      </x:c>
      <x:c r="Y230" s="9" t="str"/>
      <x:c r="Z230" s="9" t="str">
        <x:v>2 hr (hard limit)</x:v>
      </x:c>
      <x:c r="AA230" s="9" t="str">
        <x:v>Kenji Eno's real-time two-hour horror movie with no pause, smuggled past ratings boards uncensored.</x:v>
      </x:c>
      <x:c r="AB230" s="9" t="str">
        <x:v>None known</x:v>
      </x:c>
      <x:c r="AC230" s="9" t="str">
        <x:v>Full-screen pre-rendered CG</x:v>
      </x:c>
      <x:c r="AD230" s="9" t="str">
        <x:v>Moderate; time limit is the challenge</x:v>
      </x:c>
      <x:c r="AE230" s="9" t="str">
        <x:v>Multiple endings — verify count</x:v>
      </x:c>
      <x:c r="AF230" s="9" t="str">
        <x:v>Eno submitted a clean build to the ratings board, then swapped in the gory version on the master — story mostly told about the 3DO version.</x:v>
      </x:c>
      <x:c r="AG230" s="9" t="str">
        <x:v>JP 'Complete Graphics' edition — verify</x:v>
      </x:c>
      <x:c r="AH230" s="9" t="str">
        <x:v>No (PlayStation version); the DOS version is on GOG and Steam (Nightdive, 2016)</x:v>
      </x:c>
      <x:c r="AI230" s="9" t="str">
        <x:v>Easy</x:v>
      </x:c>
      <x:c r="AJ230" s="9"/>
      <x:c r="AK230" s="9" t="str"/>
      <x:c r="AL230" s="10" t="n">
        <x:v>81.5</x:v>
      </x:c>
      <x:c r="AM230" s="10" t="n">
        <x:v>129.38</x:v>
      </x:c>
      <x:c r="AN230" s="10" t="n">
        <x:v>336</x:v>
      </x:c>
      <x:c r="AO230" s="9" t="str">
        <x:v>2026-10-21</x:v>
      </x:c>
      <x:c r="AP230" s="11" t="str">
        <x:f>HYPERLINK("https://www.pricecharting.com/game/playstation/d","PriceCharting")</x:f>
        <x:v>PriceCharting</x:v>
      </x:c>
      <x:c r="AQ230" s="9"/>
      <x:c r="AR230" s="9"/>
      <x:c r="AS230" s="9"/>
      <x:c r="AT230" s="9"/>
      <x:c r="AU230" s="9"/>
      <x:c r="AV230" s="9"/>
      <x:c r="AW230" s="9"/>
      <x:c r="AX230" s="9"/>
      <x:c r="AY230" s="9"/>
      <x:c r="AZ230" s="9"/>
      <x:c r="BA230" s="11" t="str">
        <x:f>HYPERLINK("https://www.mobygames.com/search/?q=D","MobyGames")</x:f>
        <x:v>MobyGames</x:v>
      </x:c>
      <x:c r="BB230" s="9" t="str">
        <x:v>73%</x:v>
      </x:c>
      <x:c r="BC230" s="9" t="str">
        <x:v>average of 3 reviews on Wikipedia (Dengeki PlayStation, Fam, Play)</x:v>
      </x:c>
      <x:c r="BD230" s="9" t="str">
        <x:f>HYPERLINK("https://en.wikipedia.org/wiki/D_%28video_game%29","Source")</x:f>
        <x:v>Source</x:v>
      </x:c>
      <x:c r="BE230" s="11" t="str">
        <x:f>HYPERLINK("https://en.wikipedia.org/wiki/D_(video_game)","Wikipedia")</x:f>
        <x:v>Wikipedia</x:v>
      </x:c>
      <x:c r="BF230" s="11" t="str">
        <x:f>HYPERLINK("https://backloggd.com/search/games/D/","Backloggd")</x:f>
        <x:v>Backloggd</x:v>
      </x:c>
      <x:c r="BG230" s="9"/>
      <x:c r="BH230" s="9"/>
      <x:c r="BI230" s="12" t="str">
        <x:v>No</x:v>
      </x:c>
      <x:c r="BJ230" s="12" t="str"/>
      <x:c r="BK230" s="12" t="str">
        <x:v>No</x:v>
      </x:c>
      <x:c r="BL230" s="12" t="str"/>
      <x:c r="BM230" s="12" t="str"/>
      <x:c r="BN230" s="12" t="str"/>
      <x:c r="BO230" s="12" t="str"/>
      <x:c r="BP230" s="12" t="str"/>
      <x:c r="BQ230" s="12" t="str"/>
    </x:row>
    <x:row r="231">
      <x:c r="A231" s="9" t="str">
        <x:v>ps1-18</x:v>
      </x:c>
      <x:c r="B231" s="9" t="str">
        <x:v>fear-effect</x:v>
      </x:c>
      <x:c r="C231" s="9" t="str">
        <x:v>PlayStation</x:v>
      </x:c>
      <x:c r="D231" s="9" t="str">
        <x:v>Fear Effect</x:v>
      </x:c>
      <x:c r="E231" s="9" t="str"/>
      <x:c r="F231" s="9" t="str">
        <x:v>Kronos Digital Entertainment</x:v>
      </x:c>
      <x:c r="G231" s="9" t="str">
        <x:v>Eidos Interactive</x:v>
      </x:c>
      <x:c r="H231" s="9" t="n">
        <x:v>2000</x:v>
      </x:c>
      <x:c r="I231" s="9" t="str">
        <x:v>Yes</x:v>
      </x:c>
      <x:c r="J231" s="9" t="str">
        <x:v>Yes</x:v>
      </x:c>
      <x:c r="K231" s="9" t="str">
        <x:v>Yes</x:v>
      </x:c>
      <x:c r="L231" s="9" t="str">
        <x:v>No</x:v>
      </x:c>
      <x:c r="M231" s="9" t="str">
        <x:v>Action-adventure</x:v>
      </x:c>
      <x:c r="N231" s="9" t="str">
        <x:v>Pre-rendered CG</x:v>
      </x:c>
      <x:c r="O231" s="9" t="n">
        <x:v>6</x:v>
      </x:c>
      <x:c r="P231" s="9" t="str">
        <x:v>Pre-rendered CG</x:v>
      </x:c>
      <x:c r="Q231" s="9" t="str">
        <x:v>Released</x:v>
      </x:c>
      <x:c r="R231" s="9" t="str">
        <x:v>Original production</x:v>
      </x:c>
      <x:c r="S231" s="9" t="str">
        <x:v>—</x:v>
      </x:c>
      <x:c r="T231" s="9" t="str">
        <x:v>—</x:v>
      </x:c>
      <x:c r="U231" s="9" t="n">
        <x:v>4</x:v>
      </x:c>
      <x:c r="V231" s="9" t="str">
        <x:v>Yes (memory card)</x:v>
      </x:c>
      <x:c r="W231" s="9" t="str">
        <x:v>Standard controller</x:v>
      </x:c>
      <x:c r="X231" s="9" t="str">
        <x:v>Low</x:v>
      </x:c>
      <x:c r="Y231" s="9" t="str"/>
      <x:c r="Z231" s="9" t="str">
        <x:v>8–10 hr</x:v>
      </x:c>
      <x:c r="AA231" s="9" t="str">
        <x:v>Cel-shaded mercenaries over looping streamed-video backgrounds that let the PS1 look like anime.</x:v>
      </x:c>
      <x:c r="AB231" s="9" t="str">
        <x:v>None known</x:v>
      </x:c>
      <x:c r="AC231" s="9" t="str">
        <x:v>Full-screen streamed looping video backgrounds behind cel-shaded polygons</x:v>
      </x:c>
      <x:c r="AD231" s="9" t="str">
        <x:v>Hard; instant deaths and fiddly controls</x:v>
      </x:c>
      <x:c r="AE231" s="9" t="str">
        <x:v>Multiple endings — verify</x:v>
      </x:c>
      <x:c r="AF231" s="9" t="str">
        <x:v>Every background is a looping FMV clip, which is why it needed four discs.</x:v>
      </x:c>
      <x:c r="AG231" s="9" t="str">
        <x:v>NA/PAL; JP release — verify</x:v>
      </x:c>
      <x:c r="AH231" s="9" t="str">
        <x:v>Yes (PS3/PSP PSone Classics — verify)</x:v>
      </x:c>
      <x:c r="AI231" s="9" t="str">
        <x:v>Easy</x:v>
      </x:c>
      <x:c r="AJ231" s="9"/>
      <x:c r="AK231" s="9" t="str"/>
      <x:c r="AL231" s="10" t="n">
        <x:v>18.38</x:v>
      </x:c>
      <x:c r="AM231" s="10" t="n">
        <x:v>34</x:v>
      </x:c>
      <x:c r="AN231" s="10" t="n">
        <x:v>100</x:v>
      </x:c>
      <x:c r="AO231" s="9" t="str">
        <x:v>2026-10-21</x:v>
      </x:c>
      <x:c r="AP231" s="11" t="str">
        <x:f>HYPERLINK("https://www.pricecharting.com/game/playstation/fear-effect","PriceCharting")</x:f>
        <x:v>PriceCharting</x:v>
      </x:c>
      <x:c r="AQ231" s="9"/>
      <x:c r="AR231" s="9"/>
      <x:c r="AS231" s="9"/>
      <x:c r="AT231" s="9"/>
      <x:c r="AU231" s="9"/>
      <x:c r="AV231" s="9"/>
      <x:c r="AW231" s="9"/>
      <x:c r="AX231" s="9"/>
      <x:c r="AY231" s="9"/>
      <x:c r="AZ231" s="9"/>
      <x:c r="BA231" s="11" t="str">
        <x:f>HYPERLINK("https://www.mobygames.com/search/?q=Fear+Effect","MobyGames")</x:f>
        <x:v>MobyGames</x:v>
      </x:c>
      <x:c r="BB231" s="9" t="str">
        <x:v>85%</x:v>
      </x:c>
      <x:c r="BC231" s="9" t="str">
        <x:v>GameRankings, 31 reviews</x:v>
      </x:c>
      <x:c r="BD231" s="9" t="str">
        <x:f>HYPERLINK("https://web.archive.org/web/20191209012836id_/https://www.gamerankings.com/ps/197299-fear-effect/","Source")</x:f>
        <x:v>Source</x:v>
      </x:c>
      <x:c r="BE231" s="11" t="str">
        <x:f>HYPERLINK("https://en.wikipedia.org/wiki/Fear_Effect","Wikipedia")</x:f>
        <x:v>Wikipedia</x:v>
      </x:c>
      <x:c r="BF231" s="11" t="str">
        <x:f>HYPERLINK("https://backloggd.com/search/games/Fear%20Effect/","Backloggd")</x:f>
        <x:v>Backloggd</x:v>
      </x:c>
      <x:c r="BG231" s="9"/>
      <x:c r="BH231" s="9"/>
      <x:c r="BI231" s="12" t="str">
        <x:v>No</x:v>
      </x:c>
      <x:c r="BJ231" s="12" t="str"/>
      <x:c r="BK231" s="12" t="str">
        <x:v>No</x:v>
      </x:c>
      <x:c r="BL231" s="12" t="str"/>
      <x:c r="BM231" s="12" t="str"/>
      <x:c r="BN231" s="12" t="str"/>
      <x:c r="BO231" s="12" t="str"/>
      <x:c r="BP231" s="12" t="str"/>
      <x:c r="BQ231" s="12" t="str"/>
    </x:row>
    <x:row r="232">
      <x:c r="A232" s="9" t="str">
        <x:v>ps1-19</x:v>
      </x:c>
      <x:c r="B232" s="9" t="str">
        <x:v>fear-effect-2-retro-helix</x:v>
      </x:c>
      <x:c r="C232" s="9" t="str">
        <x:v>PlayStation</x:v>
      </x:c>
      <x:c r="D232" s="9" t="str">
        <x:v>Fear Effect 2: Retro Helix</x:v>
      </x:c>
      <x:c r="E232" s="9" t="str"/>
      <x:c r="F232" s="9" t="str">
        <x:v>Kronos Digital Entertainment</x:v>
      </x:c>
      <x:c r="G232" s="9" t="str">
        <x:v>Eidos Interactive</x:v>
      </x:c>
      <x:c r="H232" s="9" t="n">
        <x:v>2001</x:v>
      </x:c>
      <x:c r="I232" s="9" t="str">
        <x:v>Yes</x:v>
      </x:c>
      <x:c r="J232" s="9" t="str">
        <x:v>No</x:v>
      </x:c>
      <x:c r="K232" s="9" t="str">
        <x:v>Yes</x:v>
      </x:c>
      <x:c r="L232" s="9" t="str">
        <x:v>No</x:v>
      </x:c>
      <x:c r="M232" s="9" t="str">
        <x:v>Action-adventure</x:v>
      </x:c>
      <x:c r="N232" s="9" t="str">
        <x:v>Pre-rendered CG</x:v>
      </x:c>
      <x:c r="O232" s="9" t="n">
        <x:v>6</x:v>
      </x:c>
      <x:c r="P232" s="9" t="str">
        <x:v>Pre-rendered CG</x:v>
      </x:c>
      <x:c r="Q232" s="9" t="str">
        <x:v>Released</x:v>
      </x:c>
      <x:c r="R232" s="9" t="str">
        <x:v>Original production (prequel to Fear Effect)</x:v>
      </x:c>
      <x:c r="S232" s="9" t="str">
        <x:v>—</x:v>
      </x:c>
      <x:c r="T232" s="9" t="str">
        <x:v>—</x:v>
      </x:c>
      <x:c r="U232" s="9" t="n">
        <x:v>4</x:v>
      </x:c>
      <x:c r="V232" s="9" t="str">
        <x:v>Yes (memory card)</x:v>
      </x:c>
      <x:c r="W232" s="9" t="str">
        <x:v>Standard controller</x:v>
      </x:c>
      <x:c r="X232" s="9" t="str">
        <x:v>Low</x:v>
      </x:c>
      <x:c r="Y232" s="9" t="str"/>
      <x:c r="Z232" s="9" t="str">
        <x:v>8–10 hr</x:v>
      </x:c>
      <x:c r="AA232" s="9" t="str">
        <x:v>The prequel that leaned into its streamed-video backdrops and a notoriously provocative ad campaign.</x:v>
      </x:c>
      <x:c r="AB232" s="9" t="str">
        <x:v>None known</x:v>
      </x:c>
      <x:c r="AC232" s="9" t="str">
        <x:v>Streamed looping video backgrounds behind cel-shaded polygons</x:v>
      </x:c>
      <x:c r="AD232" s="9" t="str">
        <x:v>Hard</x:v>
      </x:c>
      <x:c r="AE232" s="9" t="str">
        <x:v>One ending — verify</x:v>
      </x:c>
      <x:c r="AF232" s="9" t="str">
        <x:v>Its marketing around Hana and Rain drew more attention than the gameplay.</x:v>
      </x:c>
      <x:c r="AG232" s="9" t="str">
        <x:v>NA/PAL</x:v>
      </x:c>
      <x:c r="AH232" s="9" t="str">
        <x:v>Yes (PS3/PSP PSone Classics — verify)</x:v>
      </x:c>
      <x:c r="AI232" s="9" t="str">
        <x:v>Easy</x:v>
      </x:c>
      <x:c r="AJ232" s="9"/>
      <x:c r="AK232" s="9" t="str"/>
      <x:c r="AL232" s="10" t="n">
        <x:v>39.5</x:v>
      </x:c>
      <x:c r="AM232" s="10" t="n">
        <x:v>64.99</x:v>
      </x:c>
      <x:c r="AN232" s="10" t="n">
        <x:v>169.65</x:v>
      </x:c>
      <x:c r="AO232" s="9" t="str">
        <x:v>2026-10-21</x:v>
      </x:c>
      <x:c r="AP232" s="11" t="str">
        <x:f>HYPERLINK("https://www.pricecharting.com/game/playstation/fear-effect-2-retro-helix","PriceCharting")</x:f>
        <x:v>PriceCharting</x:v>
      </x:c>
      <x:c r="AQ232" s="9"/>
      <x:c r="AR232" s="9"/>
      <x:c r="AS232" s="9"/>
      <x:c r="AT232" s="9"/>
      <x:c r="AU232" s="9"/>
      <x:c r="AV232" s="9"/>
      <x:c r="AW232" s="9"/>
      <x:c r="AX232" s="9"/>
      <x:c r="AY232" s="9" t="str">
        <x:v>80%</x:v>
      </x:c>
      <x:c r="AZ232" s="9" t="str">
        <x:v>3.6</x:v>
      </x:c>
      <x:c r="BA232" s="11" t="str">
        <x:f>HYPERLINK("https://www.mobygames.com/search/?q=Fear+Effect+2%3A+Retro+Helix","MobyGames")</x:f>
        <x:v>MobyGames</x:v>
      </x:c>
      <x:c r="BB232" s="9" t="str">
        <x:v>82%</x:v>
      </x:c>
      <x:c r="BC232" s="9" t="str">
        <x:v>GameRankings, 32 reviews</x:v>
      </x:c>
      <x:c r="BD232" s="9" t="str">
        <x:f>HYPERLINK("https://web.archive.org/web/20191209013320id_/https://www.gamerankings.com/ps/913908-fear-effect-2-retro-helix/","Source")</x:f>
        <x:v>Source</x:v>
      </x:c>
      <x:c r="BE232" s="11" t="str">
        <x:f>HYPERLINK("https://en.wikipedia.org/wiki/Fear_Effect_2:_Retro_Helix","Wikipedia")</x:f>
        <x:v>Wikipedia</x:v>
      </x:c>
      <x:c r="BF232" s="11" t="str">
        <x:f>HYPERLINK("https://backloggd.com/search/games/Fear%20Effect%202%3A%20Retro%20Helix/","Backloggd")</x:f>
        <x:v>Backloggd</x:v>
      </x:c>
      <x:c r="BG232" s="9"/>
      <x:c r="BH232" s="9"/>
      <x:c r="BI232" s="12" t="str">
        <x:v>No</x:v>
      </x:c>
      <x:c r="BJ232" s="12" t="str"/>
      <x:c r="BK232" s="12" t="str">
        <x:v>No</x:v>
      </x:c>
      <x:c r="BL232" s="12" t="str"/>
      <x:c r="BM232" s="12" t="str"/>
      <x:c r="BN232" s="12" t="str"/>
      <x:c r="BO232" s="12" t="str"/>
      <x:c r="BP232" s="12" t="str"/>
      <x:c r="BQ232" s="12" t="str"/>
    </x:row>
    <x:row r="233">
      <x:c r="A233" s="9" t="str">
        <x:v>ps1-20</x:v>
      </x:c>
      <x:c r="B233" s="9" t="str">
        <x:v>chronicles-of-the-sword</x:v>
      </x:c>
      <x:c r="C233" s="9" t="str">
        <x:v>PlayStation</x:v>
      </x:c>
      <x:c r="D233" s="9" t="str">
        <x:v>Chronicles of the Sword</x:v>
      </x:c>
      <x:c r="E233" s="9" t="str"/>
      <x:c r="F233" s="9" t="str">
        <x:v>Synthetic Dimensions</x:v>
      </x:c>
      <x:c r="G233" s="9" t="str">
        <x:v>Psygnosis (EU), Sony Computer Entertainment America (NA)</x:v>
      </x:c>
      <x:c r="H233" s="9" t="n">
        <x:v>1996</x:v>
      </x:c>
      <x:c r="I233" s="9" t="str">
        <x:v>Yes</x:v>
      </x:c>
      <x:c r="J233" s="9" t="str">
        <x:v>No</x:v>
      </x:c>
      <x:c r="K233" s="9" t="str">
        <x:v>Yes</x:v>
      </x:c>
      <x:c r="L233" s="9" t="str">
        <x:v>No</x:v>
      </x:c>
      <x:c r="M233" s="9" t="str">
        <x:v>Point-and-click adventure</x:v>
      </x:c>
      <x:c r="N233" s="9" t="str">
        <x:v>Pre-rendered CG</x:v>
      </x:c>
      <x:c r="O233" s="9" t="n">
        <x:v>3</x:v>
      </x:c>
      <x:c r="P233" s="9" t="str">
        <x:v>Cutscenes only</x:v>
      </x:c>
      <x:c r="Q233" s="9" t="str">
        <x:v>Released</x:v>
      </x:c>
      <x:c r="R233" s="9" t="str">
        <x:v>Original production (Arthurian legend); PC original</x:v>
      </x:c>
      <x:c r="S233" s="9" t="str">
        <x:v>DOS/Windows</x:v>
      </x:c>
      <x:c r="T233" s="9" t="str">
        <x:v>—</x:v>
      </x:c>
      <x:c r="U233" s="9" t="n">
        <x:v>1</x:v>
      </x:c>
      <x:c r="V233" s="9" t="str">
        <x:v>Yes</x:v>
      </x:c>
      <x:c r="W233" s="9" t="str">
        <x:v>Standard controller; PlayStation Mouse; memory card (2 blocks)</x:v>
      </x:c>
      <x:c r="X233" s="9" t="str">
        <x:v>Low</x:v>
      </x:c>
      <x:c r="Y233" s="9" t="str"/>
      <x:c r="Z233" s="9" t="str">
        <x:v>8–12 hr</x:v>
      </x:c>
      <x:c r="AA233" s="9" t="str">
        <x:v>A gloomy Arthurian adventure where Gawain's quest plays out in grainy pre-rendered Psygnosis CG.</x:v>
      </x:c>
      <x:c r="AB233" s="9" t="str">
        <x:v>None known</x:v>
      </x:c>
      <x:c r="AC233" s="9" t="str">
        <x:v>Pre-rendered CG cutscenes and animations over static scenes; partial-screen, compressed (verify)</x:v>
      </x:c>
      <x:c r="AD233" s="9" t="str">
        <x:v>Moderate; some obtuse puzzles and sudden deaths</x:v>
      </x:c>
      <x:c r="AE233" s="9" t="str">
        <x:v>Linear, single ending</x:v>
      </x:c>
      <x:c r="AF233" s="9" t="str">
        <x:v>Published by Sony itself in North America (SCUS-94700), one of the few Psygnosis adventures to get a US first-party label.</x:v>
      </x:c>
      <x:c r="AG233" s="9" t="str">
        <x:v>EU (SLES-00165) and NA (SCUS-94700) releases</x:v>
      </x:c>
      <x:c r="AH233" s="9" t="str">
        <x:v>No</x:v>
      </x:c>
      <x:c r="AI233" s="9" t="str">
        <x:v>Easy</x:v>
      </x:c>
      <x:c r="AJ233" s="9"/>
      <x:c r="AK233" s="9" t="str">
        <x:v>Borderline for scope: FMV is CG cutscenes only.</x:v>
      </x:c>
      <x:c r="AL233" s="10" t="n">
        <x:v>9.33</x:v>
      </x:c>
      <x:c r="AM233" s="10" t="n">
        <x:v>15.72</x:v>
      </x:c>
      <x:c r="AN233" s="10" t="n">
        <x:v>41</x:v>
      </x:c>
      <x:c r="AO233" s="9" t="str">
        <x:v>2026-10-21</x:v>
      </x:c>
      <x:c r="AP233" s="11" t="str">
        <x:f>HYPERLINK("https://www.pricecharting.com/game/pal-playstation/chronicles-of-the-sword","PriceCharting")</x:f>
        <x:v>PriceCharting</x:v>
      </x:c>
      <x:c r="AQ233" s="9"/>
      <x:c r="AR233" s="9"/>
      <x:c r="AS233" s="9"/>
      <x:c r="AT233" s="9"/>
      <x:c r="AU233" s="9"/>
      <x:c r="AV233" s="9"/>
      <x:c r="AW233" s="9"/>
      <x:c r="AX233" s="9"/>
      <x:c r="AY233" s="9"/>
      <x:c r="AZ233" s="9"/>
      <x:c r="BA233" s="11" t="str">
        <x:f>HYPERLINK("https://www.mobygames.com/search/?q=Chronicles+of+the+Sword","MobyGames")</x:f>
        <x:v>MobyGames</x:v>
      </x:c>
      <x:c r="BB233" s="9"/>
      <x:c r="BC233" s="9"/>
      <x:c r="BD233" s="9"/>
      <x:c r="BE233" s="11" t="str">
        <x:f>HYPERLINK("https://en.wikipedia.org/wiki/Chronicles_of_the_Sword","Wikipedia")</x:f>
        <x:v>Wikipedia</x:v>
      </x:c>
      <x:c r="BF233" s="11" t="str">
        <x:f>HYPERLINK("https://backloggd.com/search/games/Chronicles%20of%20the%20Sword/","Backloggd")</x:f>
        <x:v>Backloggd</x:v>
      </x:c>
      <x:c r="BG233" s="9"/>
      <x:c r="BH233" s="9"/>
      <x:c r="BI233" s="12" t="str">
        <x:v>No</x:v>
      </x:c>
      <x:c r="BJ233" s="12" t="str"/>
      <x:c r="BK233" s="12" t="str">
        <x:v>No</x:v>
      </x:c>
      <x:c r="BL233" s="12" t="str"/>
      <x:c r="BM233" s="12" t="str"/>
      <x:c r="BN233" s="12" t="str"/>
      <x:c r="BO233" s="12" t="str"/>
      <x:c r="BP233" s="12" t="str"/>
      <x:c r="BQ233" s="12" t="str"/>
    </x:row>
    <x:row r="234">
      <x:c r="A234" s="9" t="str">
        <x:v>ps1-21</x:v>
      </x:c>
      <x:c r="B234" s="9" t="str">
        <x:v>dracula-resurrection</x:v>
      </x:c>
      <x:c r="C234" s="9" t="str">
        <x:v>PlayStation</x:v>
      </x:c>
      <x:c r="D234" s="9" t="str">
        <x:v>Dracula: Resurrection</x:v>
      </x:c>
      <x:c r="E234" s="9" t="str">
        <x:v>Dracula: The Resurrection</x:v>
      </x:c>
      <x:c r="F234" s="9" t="str">
        <x:v>Index+</x:v>
      </x:c>
      <x:c r="G234" s="9" t="str">
        <x:v>Index+ (FR), Microïds (UK); DreamCatcher Interactive (NA)</x:v>
      </x:c>
      <x:c r="H234" s="9" t="n">
        <x:v>2000</x:v>
      </x:c>
      <x:c r="I234" s="9" t="str">
        <x:v>Yes</x:v>
      </x:c>
      <x:c r="J234" s="9" t="str">
        <x:v>No</x:v>
      </x:c>
      <x:c r="K234" s="9" t="str">
        <x:v>Yes</x:v>
      </x:c>
      <x:c r="L234" s="9" t="str">
        <x:v>No</x:v>
      </x:c>
      <x:c r="M234" s="9" t="str">
        <x:v>First-person point-and-click horror adventure</x:v>
      </x:c>
      <x:c r="N234" s="9" t="str">
        <x:v>Pre-rendered CG</x:v>
      </x:c>
      <x:c r="O234" s="9" t="n">
        <x:v>4</x:v>
      </x:c>
      <x:c r="P234" s="9" t="str">
        <x:v>Pre-rendered CG</x:v>
      </x:c>
      <x:c r="Q234" s="9" t="str">
        <x:v>Released</x:v>
      </x:c>
      <x:c r="R234" s="9" t="str">
        <x:v>Original production (sequel to Stoker's novel); PC original</x:v>
      </x:c>
      <x:c r="S234" s="9" t="str">
        <x:v>Windows, Mac, iOS, Android</x:v>
      </x:c>
      <x:c r="T234" s="9" t="str">
        <x:v>—</x:v>
      </x:c>
      <x:c r="U234" s="9" t="n">
        <x:v>2</x:v>
      </x:c>
      <x:c r="V234" s="9" t="str">
        <x:v>Yes</x:v>
      </x:c>
      <x:c r="W234" s="9" t="str">
        <x:v>Memory card; PlayStation Mouse support (verify)</x:v>
      </x:c>
      <x:c r="X234" s="9" t="str">
        <x:v>Low</x:v>
      </x:c>
      <x:c r="Y234" s="9" t="str"/>
      <x:c r="Z234" s="9" t="str">
        <x:v>3–5 hr</x:v>
      </x:c>
      <x:c r="AA234" s="9" t="str">
        <x:v>Jonathan Harker returns to Transylvania in 1904, rendered entirely in late-90s French CG cinematics.</x:v>
      </x:c>
      <x:c r="AB234" s="9" t="str">
        <x:v>None known</x:v>
      </x:c>
      <x:c r="AC234" s="9" t="str">
        <x:v>Panoramic pre-rendered nodes with full-screen CG FMV cutscenes; PS1 compression visible (verify)</x:v>
      </x:c>
      <x:c r="AD234" s="9" t="str">
        <x:v>Moderate; timed death scenes</x:v>
      </x:c>
      <x:c r="AE234" s="9" t="str">
        <x:v>Single ending; cliffhanger</x:v>
      </x:c>
      <x:c r="AF234" s="9" t="str">
        <x:v>Its cliffhanger led straight into Dracula 2: The Last Sanctuary a year later.</x:v>
      </x:c>
      <x:c r="AG234" s="9" t="str"/>
      <x:c r="AH234" s="9" t="str">
        <x:v>Yes (Steam/GOG PC, iOS/Android remaster by Microïds)</x:v>
      </x:c>
      <x:c r="AI234" s="9" t="str">
        <x:v>Easy</x:v>
      </x:c>
      <x:c r="AJ234" s="9"/>
      <x:c r="AK234" s="9" t="str"/>
      <x:c r="AL234" s="10" t="n">
        <x:v>16.76</x:v>
      </x:c>
      <x:c r="AM234" s="10" t="n">
        <x:v>26.76</x:v>
      </x:c>
      <x:c r="AN234" s="10" t="n">
        <x:v>59.95</x:v>
      </x:c>
      <x:c r="AO234" s="9" t="str">
        <x:v>2026-10-21</x:v>
      </x:c>
      <x:c r="AP234" s="11" t="str">
        <x:f>HYPERLINK("https://www.pricecharting.com/game/playstation/dracula-the-resurrection","PriceCharting")</x:f>
        <x:v>PriceCharting</x:v>
      </x:c>
      <x:c r="AQ234" s="9"/>
      <x:c r="AR234" s="9"/>
      <x:c r="AS234" s="9"/>
      <x:c r="AT234" s="9"/>
      <x:c r="AU234" s="9"/>
      <x:c r="AV234" s="9"/>
      <x:c r="AW234" s="9"/>
      <x:c r="AX234" s="9"/>
      <x:c r="AY234" s="9" t="str">
        <x:v>55%</x:v>
      </x:c>
      <x:c r="AZ234" s="9" t="str">
        <x:v>3.2</x:v>
      </x:c>
      <x:c r="BA234" s="11" t="str">
        <x:f>HYPERLINK("https://www.mobygames.com/game/1862/dracula-the-resurrection/","MobyGames")</x:f>
        <x:v>MobyGames</x:v>
      </x:c>
      <x:c r="BB234" s="9" t="str">
        <x:v>64%</x:v>
      </x:c>
      <x:c r="BC234" s="9" t="str">
        <x:v>GameRankings, 2 reviews</x:v>
      </x:c>
      <x:c r="BD234" s="9" t="str">
        <x:f>HYPERLINK("https://web.archive.org/web/20191209015125id_/https://www.gamerankings.com/ps/577948-dracula-the-resurrection/","Source")</x:f>
        <x:v>Source</x:v>
      </x:c>
      <x:c r="BE234" s="11" t="str">
        <x:f>HYPERLINK("https://en.wikipedia.org/wiki/Dracula:_Resurrection","Wikipedia")</x:f>
        <x:v>Wikipedia</x:v>
      </x:c>
      <x:c r="BF234" s="11" t="str">
        <x:f>HYPERLINK("https://backloggd.com/search/games/Dracula%3A%20Resurrection/","Backloggd")</x:f>
        <x:v>Backloggd</x:v>
      </x:c>
      <x:c r="BG234" s="9"/>
      <x:c r="BH234" s="9"/>
      <x:c r="BI234" s="12" t="str">
        <x:v>No</x:v>
      </x:c>
      <x:c r="BJ234" s="12" t="str"/>
      <x:c r="BK234" s="12" t="str">
        <x:v>No</x:v>
      </x:c>
      <x:c r="BL234" s="12" t="str"/>
      <x:c r="BM234" s="12" t="str"/>
      <x:c r="BN234" s="12" t="str"/>
      <x:c r="BO234" s="12" t="str"/>
      <x:c r="BP234" s="12" t="str"/>
      <x:c r="BQ234" s="12" t="str"/>
    </x:row>
    <x:row r="235">
      <x:c r="A235" s="9" t="str">
        <x:v>ps1-22</x:v>
      </x:c>
      <x:c r="B235" s="9" t="str">
        <x:v>dracula-2-the-last-sanctuary</x:v>
      </x:c>
      <x:c r="C235" s="9" t="str">
        <x:v>PlayStation</x:v>
      </x:c>
      <x:c r="D235" s="9" t="str">
        <x:v>Dracula 2: The Last Sanctuary</x:v>
      </x:c>
      <x:c r="E235" s="9" t="str"/>
      <x:c r="F235" s="9" t="str">
        <x:v>Index+ / Canal+ Multimedia</x:v>
      </x:c>
      <x:c r="G235" s="9" t="str">
        <x:v>Wanadoo (EU); DreamCatcher (NA)</x:v>
      </x:c>
      <x:c r="H235" s="9" t="n">
        <x:v>2001</x:v>
      </x:c>
      <x:c r="I235" s="9" t="str">
        <x:v>Yes</x:v>
      </x:c>
      <x:c r="J235" s="9" t="str">
        <x:v>No</x:v>
      </x:c>
      <x:c r="K235" s="9" t="str">
        <x:v>Yes</x:v>
      </x:c>
      <x:c r="L235" s="9" t="str">
        <x:v>No</x:v>
      </x:c>
      <x:c r="M235" s="9" t="str">
        <x:v>First-person point-and-click horror adventure</x:v>
      </x:c>
      <x:c r="N235" s="9" t="str">
        <x:v>Pre-rendered CG</x:v>
      </x:c>
      <x:c r="O235" s="9" t="n">
        <x:v>4</x:v>
      </x:c>
      <x:c r="P235" s="9" t="str">
        <x:v>Pre-rendered CG</x:v>
      </x:c>
      <x:c r="Q235" s="9" t="str">
        <x:v>Released</x:v>
      </x:c>
      <x:c r="R235" s="9" t="str">
        <x:v>Original production; PC original</x:v>
      </x:c>
      <x:c r="S235" s="9" t="str">
        <x:v>Windows, Mac, iOS, Android</x:v>
      </x:c>
      <x:c r="T235" s="9" t="str">
        <x:v>—</x:v>
      </x:c>
      <x:c r="U235" s="9" t="n">
        <x:v>2</x:v>
      </x:c>
      <x:c r="V235" s="9" t="str">
        <x:v>Yes</x:v>
      </x:c>
      <x:c r="W235" s="9" t="str">
        <x:v>Memory card; PlayStation Mouse support (verify)</x:v>
      </x:c>
      <x:c r="X235" s="9" t="str">
        <x:v>Low</x:v>
      </x:c>
      <x:c r="Y235" s="9" t="str"/>
      <x:c r="Z235" s="9" t="str">
        <x:v>4–6 hr</x:v>
      </x:c>
      <x:c r="AA235" s="9" t="str">
        <x:v>Harker brings Mina to London and confronts Dracula in his own sanctuary — more CG cinema than game at times.</x:v>
      </x:c>
      <x:c r="AB235" s="9" t="str">
        <x:v>None known</x:v>
      </x:c>
      <x:c r="AC235" s="9" t="str">
        <x:v>Panoramic pre-rendered nodes with CG FMV cutscenes (verify)</x:v>
      </x:c>
      <x:c r="AD235" s="9" t="str">
        <x:v>Moderate</x:v>
      </x:c>
      <x:c r="AE235" s="9" t="str">
        <x:v>Single ending</x:v>
      </x:c>
      <x:c r="AF235" s="9" t="str">
        <x:v>Picks up seconds after the first game's cliffhanger.</x:v>
      </x:c>
      <x:c r="AG235" s="9" t="str"/>
      <x:c r="AH235" s="9" t="str">
        <x:v>Yes (Steam/GOG PC, mobile)</x:v>
      </x:c>
      <x:c r="AI235" s="9" t="str">
        <x:v>Easy</x:v>
      </x:c>
      <x:c r="AJ235" s="9"/>
      <x:c r="AK235" s="9" t="str">
        <x:v>NA SLUS-01440, EU SLES-03351. Year may be 2002 for NA (verify).</x:v>
      </x:c>
      <x:c r="AL235" s="10" t="n">
        <x:v>22.26</x:v>
      </x:c>
      <x:c r="AM235" s="10" t="n">
        <x:v>24.24</x:v>
      </x:c>
      <x:c r="AN235" s="10" t="n">
        <x:v>49.49</x:v>
      </x:c>
      <x:c r="AO235" s="9" t="str">
        <x:v>2026-10-21</x:v>
      </x:c>
      <x:c r="AP235" s="11" t="str">
        <x:f>HYPERLINK("https://www.pricecharting.com/game/playstation/dracula-the-last-sanctuary","PriceCharting")</x:f>
        <x:v>PriceCharting</x:v>
      </x:c>
      <x:c r="AQ235" s="9"/>
      <x:c r="AR235" s="9"/>
      <x:c r="AS235" s="9"/>
      <x:c r="AT235" s="9"/>
      <x:c r="AU235" s="9"/>
      <x:c r="AV235" s="9"/>
      <x:c r="AW235" s="9"/>
      <x:c r="AX235" s="9"/>
      <x:c r="AY235" s="9"/>
      <x:c r="AZ235" s="9"/>
      <x:c r="BA235" s="11" t="str">
        <x:f>HYPERLINK("https://www.mobygames.com/search/?q=Dracula+2%3A+The+Last+Sanctuary","MobyGames")</x:f>
        <x:v>MobyGames</x:v>
      </x:c>
      <x:c r="BB235" s="9" t="str">
        <x:v>65%</x:v>
      </x:c>
      <x:c r="BC235" s="9" t="str">
        <x:v>GameRankings, 3 reviews</x:v>
      </x:c>
      <x:c r="BD235" s="9" t="str">
        <x:f>HYPERLINK("https://web.archive.org/web/20191209012106id_/https://www.gamerankings.com/ps/915155-dracula-the-last-sanctuary/","Source")</x:f>
        <x:v>Source</x:v>
      </x:c>
      <x:c r="BE235" s="11" t="str">
        <x:f>HYPERLINK("https://en.wikipedia.org/wiki/Dracula_2:_The_Last_Sanctuary","Wikipedia")</x:f>
        <x:v>Wikipedia</x:v>
      </x:c>
      <x:c r="BF235" s="11" t="str">
        <x:f>HYPERLINK("https://backloggd.com/search/games/Dracula%202%3A%20The%20Last%20Sanctuary/","Backloggd")</x:f>
        <x:v>Backloggd</x:v>
      </x:c>
      <x:c r="BG235" s="9"/>
      <x:c r="BH235" s="9"/>
      <x:c r="BI235" s="12" t="str">
        <x:v>No</x:v>
      </x:c>
      <x:c r="BJ235" s="12" t="str"/>
      <x:c r="BK235" s="12" t="str">
        <x:v>No</x:v>
      </x:c>
      <x:c r="BL235" s="12" t="str"/>
      <x:c r="BM235" s="12" t="str"/>
      <x:c r="BN235" s="12" t="str"/>
      <x:c r="BO235" s="12" t="str"/>
      <x:c r="BP235" s="12" t="str"/>
      <x:c r="BQ235" s="12" t="str"/>
    </x:row>
    <x:row r="236">
      <x:c r="A236" s="9" t="str">
        <x:v>ps1-23</x:v>
      </x:c>
      <x:c r="B236" s="9" t="str">
        <x:v>amerzone</x:v>
      </x:c>
      <x:c r="C236" s="9" t="str">
        <x:v>PlayStation</x:v>
      </x:c>
      <x:c r="D236" s="9" t="str">
        <x:v>Amerzone</x:v>
      </x:c>
      <x:c r="E236" s="9" t="str">
        <x:v>Amerzone: The Explorer's Legacy / L'Amerzone: Le testament de l'explorateur</x:v>
      </x:c>
      <x:c r="F236" s="9" t="str">
        <x:v>Microïds</x:v>
      </x:c>
      <x:c r="G236" s="9" t="str">
        <x:v>Microïds / Infogrames (EU)</x:v>
      </x:c>
      <x:c r="H236" s="9" t="n">
        <x:v>1999</x:v>
      </x:c>
      <x:c r="I236" s="9" t="str">
        <x:v>No</x:v>
      </x:c>
      <x:c r="J236" s="9" t="str">
        <x:v>No</x:v>
      </x:c>
      <x:c r="K236" s="9" t="str">
        <x:v>Yes</x:v>
      </x:c>
      <x:c r="L236" s="9" t="str">
        <x:v>No</x:v>
      </x:c>
      <x:c r="M236" s="9" t="str">
        <x:v>First-person adventure</x:v>
      </x:c>
      <x:c r="N236" s="9" t="str">
        <x:v>Pre-rendered CG</x:v>
      </x:c>
      <x:c r="O236" s="9" t="n">
        <x:v>4</x:v>
      </x:c>
      <x:c r="P236" s="9" t="str">
        <x:v>Pre-rendered CG</x:v>
      </x:c>
      <x:c r="Q236" s="9" t="str">
        <x:v>Released</x:v>
      </x:c>
      <x:c r="R236" s="9" t="str">
        <x:v>Based on Benoît Sokal's Canardo comics universe; PC original (1999)</x:v>
      </x:c>
      <x:c r="S236" s="9" t="str">
        <x:v>Windows, Mac OS, OS X, iOS, PlayStation 5, Xbox Series X/S</x:v>
      </x:c>
      <x:c r="T236" s="9" t="str">
        <x:v>—</x:v>
      </x:c>
      <x:c r="U236" s="9" t="n">
        <x:v>1</x:v>
      </x:c>
      <x:c r="V236" s="9" t="str">
        <x:v>Yes</x:v>
      </x:c>
      <x:c r="W236" s="9" t="str">
        <x:v>Standard controller (analog compatible); PlayStation Mouse; memory card (1 block)</x:v>
      </x:c>
      <x:c r="X236" s="9" t="str">
        <x:v>Low</x:v>
      </x:c>
      <x:c r="Y236" s="9" t="str"/>
      <x:c r="Z236" s="9" t="str">
        <x:v>5–8 hr</x:v>
      </x:c>
      <x:c r="AA236" s="9" t="str">
        <x:v>Benoît Sokal's pre-Syberia expedition to a lost South American land of white birds, told in pre-rendered CG.</x:v>
      </x:c>
      <x:c r="AB236" s="9" t="str">
        <x:v>None known</x:v>
      </x:c>
      <x:c r="AC236" s="9" t="str">
        <x:v>Pre-rendered panoramic nodes with CG transitions and cutscenes; reduced-quality PS1 video (verify)</x:v>
      </x:c>
      <x:c r="AD236" s="9" t="str">
        <x:v>Moderate</x:v>
      </x:c>
      <x:c r="AE236" s="9" t="str">
        <x:v>Single ending</x:v>
      </x:c>
      <x:c r="AF236" s="9" t="str">
        <x:v>Benoît Sokal later created Syberia; Amerzone was his first game.</x:v>
      </x:c>
      <x:c r="AG236" s="9" t="str"/>
      <x:c r="AH236" s="9" t="str">
        <x:v>Yes (PC on GOG/Steam; 2025 remake — verify)</x:v>
      </x:c>
      <x:c r="AI236" s="9" t="str">
        <x:v>Import</x:v>
      </x:c>
      <x:c r="AJ236" s="9"/>
      <x:c r="AK236" s="9" t="str">
        <x:v>EU-only on PS1 (SLES-02346–02349).</x:v>
      </x:c>
      <x:c r="AL236" s="10" t="n">
        <x:v>7.74</x:v>
      </x:c>
      <x:c r="AM236" s="10" t="n">
        <x:v>16.12</x:v>
      </x:c>
      <x:c r="AN236" s="10" t="n">
        <x:v>42</x:v>
      </x:c>
      <x:c r="AO236" s="9" t="str">
        <x:v>2026-10-21</x:v>
      </x:c>
      <x:c r="AP236" s="11" t="str">
        <x:f>HYPERLINK("https://www.pricecharting.com/game/pal-playstation/amerzone-the-explorer%27s-legacy","PriceCharting")</x:f>
        <x:v>PriceCharting</x:v>
      </x:c>
      <x:c r="AQ236" s="9"/>
      <x:c r="AR236" s="9"/>
      <x:c r="AS236" s="9"/>
      <x:c r="AT236" s="9"/>
      <x:c r="AU236" s="9"/>
      <x:c r="AV236" s="9"/>
      <x:c r="AW236" s="9"/>
      <x:c r="AX236" s="9"/>
      <x:c r="AY236" s="9"/>
      <x:c r="AZ236" s="9"/>
      <x:c r="BA236" s="11" t="str">
        <x:f>HYPERLINK("https://www.mobygames.com/search/?q=Amerzone","MobyGames")</x:f>
        <x:v>MobyGames</x:v>
      </x:c>
      <x:c r="BB236" s="9"/>
      <x:c r="BC236" s="9"/>
      <x:c r="BD236" s="9"/>
      <x:c r="BE236" s="11" t="str">
        <x:f>HYPERLINK("https://en.wikipedia.org/wiki/Amerzone","Wikipedia")</x:f>
        <x:v>Wikipedia</x:v>
      </x:c>
      <x:c r="BF236" s="11" t="str">
        <x:f>HYPERLINK("https://backloggd.com/search/games/Amerzone/","Backloggd")</x:f>
        <x:v>Backloggd</x:v>
      </x:c>
      <x:c r="BG236" s="9"/>
      <x:c r="BH236" s="9"/>
      <x:c r="BI236" s="12" t="str">
        <x:v>No</x:v>
      </x:c>
      <x:c r="BJ236" s="12" t="str"/>
      <x:c r="BK236" s="12" t="str">
        <x:v>No</x:v>
      </x:c>
      <x:c r="BL236" s="12" t="str"/>
      <x:c r="BM236" s="12" t="str"/>
      <x:c r="BN236" s="12" t="str"/>
      <x:c r="BO236" s="12" t="str"/>
      <x:c r="BP236" s="12" t="str"/>
      <x:c r="BQ236" s="12" t="str"/>
    </x:row>
    <x:row r="237">
      <x:c r="A237" s="9" t="str">
        <x:v>ps1-24</x:v>
      </x:c>
      <x:c r="B237" s="9" t="str">
        <x:v>atlantis-the-lost-tales</x:v>
      </x:c>
      <x:c r="C237" s="9" t="str">
        <x:v>PlayStation</x:v>
      </x:c>
      <x:c r="D237" s="9" t="str">
        <x:v>Atlantis: The Lost Tales</x:v>
      </x:c>
      <x:c r="E237" s="9" t="str">
        <x:v>Atlantis: Secrets d'un monde oublié</x:v>
      </x:c>
      <x:c r="F237" s="9" t="str">
        <x:v>Cryo Interactive</x:v>
      </x:c>
      <x:c r="G237" s="9" t="str">
        <x:v>Cryo Interactive (EU)</x:v>
      </x:c>
      <x:c r="H237" s="9" t="n">
        <x:v>1998</x:v>
      </x:c>
      <x:c r="I237" s="9" t="str">
        <x:v>No</x:v>
      </x:c>
      <x:c r="J237" s="9" t="str">
        <x:v>No</x:v>
      </x:c>
      <x:c r="K237" s="9" t="str">
        <x:v>Yes</x:v>
      </x:c>
      <x:c r="L237" s="9" t="str">
        <x:v>No</x:v>
      </x:c>
      <x:c r="M237" s="9" t="str">
        <x:v>First-person adventure</x:v>
      </x:c>
      <x:c r="N237" s="9" t="str">
        <x:v>Pre-rendered CG</x:v>
      </x:c>
      <x:c r="O237" s="9" t="n">
        <x:v>4</x:v>
      </x:c>
      <x:c r="P237" s="9" t="str">
        <x:v>Pre-rendered CG</x:v>
      </x:c>
      <x:c r="Q237" s="9" t="str">
        <x:v>Released</x:v>
      </x:c>
      <x:c r="R237" s="9" t="str">
        <x:v>Original production; PC original (1997)</x:v>
      </x:c>
      <x:c r="S237" s="9" t="str">
        <x:v>Windows, Mac, Saturn</x:v>
      </x:c>
      <x:c r="T237" s="9" t="str">
        <x:v>—</x:v>
      </x:c>
      <x:c r="U237" s="9" t="n">
        <x:v>4</x:v>
      </x:c>
      <x:c r="V237" s="9" t="str">
        <x:v>Yes</x:v>
      </x:c>
      <x:c r="W237" s="9" t="str">
        <x:v>Standard controller; PlayStation Mouse; memory card (1 block)</x:v>
      </x:c>
      <x:c r="X237" s="9" t="str">
        <x:v>Low</x:v>
      </x:c>
      <x:c r="Y237" s="9" t="str"/>
      <x:c r="Z237" s="9" t="str">
        <x:v>8–12 hr</x:v>
      </x:c>
      <x:c r="AA237" s="9" t="str">
        <x:v>Cryo's Omni3D Atlantis epic, with lavish facial-animated CG characters crammed onto PS1 discs.</x:v>
      </x:c>
      <x:c r="AB237" s="9" t="str">
        <x:v>None known</x:v>
      </x:c>
      <x:c r="AC237" s="9" t="str">
        <x:v>Panoramic pre-rendered nodes with CG FMV dialogue scenes (verify)</x:v>
      </x:c>
      <x:c r="AD237" s="9" t="str">
        <x:v>Moderate; timed sequences</x:v>
      </x:c>
      <x:c r="AE237" s="9" t="str">
        <x:v>Single ending</x:v>
      </x:c>
      <x:c r="AF237" s="9" t="str">
        <x:v>Cryo's Omni3D engine debuted here; the PC game won awards for its facial animation.</x:v>
      </x:c>
      <x:c r="AG237" s="9" t="str"/>
      <x:c r="AH237" s="9" t="str">
        <x:v>Yes (PC on GOG/Steam)</x:v>
      </x:c>
      <x:c r="AI237" s="9" t="str">
        <x:v>Import</x:v>
      </x:c>
      <x:c r="AJ237" s="9"/>
      <x:c r="AK237" s="9" t="str">
        <x:v>EU only (SLES-01605). Year may be 1999 (verify); disc count verify.</x:v>
      </x:c>
      <x:c r="AL237" s="10"/>
      <x:c r="AM237" s="10" t="n">
        <x:v>36.95</x:v>
      </x:c>
      <x:c r="AN237" s="10" t="n">
        <x:v>164.12</x:v>
      </x:c>
      <x:c r="AO237" s="9" t="str">
        <x:v>2026-10-21</x:v>
      </x:c>
      <x:c r="AP237" s="11" t="str">
        <x:f>HYPERLINK("https://www.pricecharting.com/game/pal-playstation/atlantis-the-lost-tales","PriceCharting")</x:f>
        <x:v>PriceCharting</x:v>
      </x:c>
      <x:c r="AQ237" s="9"/>
      <x:c r="AR237" s="9"/>
      <x:c r="AS237" s="9"/>
      <x:c r="AT237" s="9"/>
      <x:c r="AU237" s="9"/>
      <x:c r="AV237" s="9"/>
      <x:c r="AW237" s="9"/>
      <x:c r="AX237" s="9"/>
      <x:c r="AY237" s="9"/>
      <x:c r="AZ237" s="9"/>
      <x:c r="BA237" s="11" t="str">
        <x:f>HYPERLINK("https://www.mobygames.com/search/?q=Atlantis%3A+The+Lost+Tales","MobyGames")</x:f>
        <x:v>MobyGames</x:v>
      </x:c>
      <x:c r="BB237" s="9" t="str">
        <x:v>85%</x:v>
      </x:c>
      <x:c r="BC237" s="9" t="str">
        <x:v>GameRankings, 1 review</x:v>
      </x:c>
      <x:c r="BD237" s="9" t="str">
        <x:f>HYPERLINK("https://web.archive.org/web/20191209012211id_/https://www.gamerankings.com/ps/577911-atlantis-the-lost-tales/","Source")</x:f>
        <x:v>Source</x:v>
      </x:c>
      <x:c r="BE237" s="11" t="str">
        <x:f>HYPERLINK("https://en.wikipedia.org/wiki/Atlantis:_The_Lost_Tales","Wikipedia")</x:f>
        <x:v>Wikipedia</x:v>
      </x:c>
      <x:c r="BF237" s="11" t="str">
        <x:f>HYPERLINK("https://backloggd.com/search/games/Atlantis%3A%20The%20Lost%20Tales/","Backloggd")</x:f>
        <x:v>Backloggd</x:v>
      </x:c>
      <x:c r="BG237" s="9"/>
      <x:c r="BH237" s="9"/>
      <x:c r="BI237" s="12" t="str">
        <x:v>No</x:v>
      </x:c>
      <x:c r="BJ237" s="12" t="str"/>
      <x:c r="BK237" s="12" t="str">
        <x:v>No</x:v>
      </x:c>
      <x:c r="BL237" s="12" t="str"/>
      <x:c r="BM237" s="12" t="str"/>
      <x:c r="BN237" s="12" t="str"/>
      <x:c r="BO237" s="12" t="str"/>
      <x:c r="BP237" s="12" t="str"/>
      <x:c r="BQ237" s="12" t="str"/>
    </x:row>
    <x:row r="238">
      <x:c r="A238" s="9" t="str">
        <x:v>ps1-25</x:v>
      </x:c>
      <x:c r="B238" s="9" t="str">
        <x:v>egypt-1156-bc-tomb-of-the-pharaoh</x:v>
      </x:c>
      <x:c r="C238" s="9" t="str">
        <x:v>PlayStation</x:v>
      </x:c>
      <x:c r="D238" s="9" t="str">
        <x:v>Egypt 1156 B.C.: Tomb of the Pharaoh</x:v>
      </x:c>
      <x:c r="E238" s="9" t="str">
        <x:v>Égypte 1156 av. J.-C.: L'énigme de la tombe royale</x:v>
      </x:c>
      <x:c r="F238" s="9" t="str">
        <x:v>Cryo Interactive</x:v>
      </x:c>
      <x:c r="G238" s="9" t="str">
        <x:v>Cryo Interactive (EU)</x:v>
      </x:c>
      <x:c r="H238" s="9" t="n">
        <x:v>1999</x:v>
      </x:c>
      <x:c r="I238" s="9" t="str">
        <x:v>No</x:v>
      </x:c>
      <x:c r="J238" s="9" t="str">
        <x:v>No</x:v>
      </x:c>
      <x:c r="K238" s="9" t="str">
        <x:v>Yes</x:v>
      </x:c>
      <x:c r="L238" s="9" t="str">
        <x:v>No</x:v>
      </x:c>
      <x:c r="M238" s="9" t="str">
        <x:v>Edutainment adventure</x:v>
      </x:c>
      <x:c r="N238" s="9" t="str">
        <x:v>Pre-rendered CG</x:v>
      </x:c>
      <x:c r="O238" s="9" t="n">
        <x:v>3</x:v>
      </x:c>
      <x:c r="P238" s="9" t="str">
        <x:v>Pre-rendered CG</x:v>
      </x:c>
      <x:c r="Q238" s="9" t="str">
        <x:v>Released</x:v>
      </x:c>
      <x:c r="R238" s="9" t="str">
        <x:v>Original production with the Réunion des musées nationaux; PC original (1997)</x:v>
      </x:c>
      <x:c r="S238" s="9" t="str">
        <x:v>Windows, Mac</x:v>
      </x:c>
      <x:c r="T238" s="9" t="str">
        <x:v>—</x:v>
      </x:c>
      <x:c r="U238" s="9" t="str">
        <x:v>Unknown — verify</x:v>
      </x:c>
      <x:c r="V238" s="9" t="str">
        <x:v>Yes</x:v>
      </x:c>
      <x:c r="W238" s="9" t="str">
        <x:v>Memory card; PlayStation Mouse support (verify)</x:v>
      </x:c>
      <x:c r="X238" s="9" t="str">
        <x:v>Low</x:v>
      </x:c>
      <x:c r="Y238" s="9" t="str"/>
      <x:c r="Z238" s="9" t="str">
        <x:v>4–6 hr</x:v>
      </x:c>
      <x:c r="AA238" s="9" t="str">
        <x:v>A murder mystery in Ramesses III's Egypt built with the Louvre's curators.</x:v>
      </x:c>
      <x:c r="AB238" s="9" t="str">
        <x:v>None known</x:v>
      </x:c>
      <x:c r="AC238" s="9" t="str">
        <x:v>Panoramic pre-rendered nodes and CG cutscenes (verify)</x:v>
      </x:c>
      <x:c r="AD238" s="9" t="str">
        <x:v>Easy–moderate</x:v>
      </x:c>
      <x:c r="AE238" s="9" t="str">
        <x:v>Single ending</x:v>
      </x:c>
      <x:c r="AF238" s="9" t="str">
        <x:v>Part of Cryo's museum-partnership series with the RMN.</x:v>
      </x:c>
      <x:c r="AG238" s="9" t="str"/>
      <x:c r="AH238" s="9" t="str">
        <x:v>Yes (PC on GOG/Steam)</x:v>
      </x:c>
      <x:c r="AI238" s="9" t="str">
        <x:v>Import</x:v>
      </x:c>
      <x:c r="AJ238" s="9"/>
      <x:c r="AK238" s="9" t="str">
        <x:v>EU only (SLES-01597/01600).</x:v>
      </x:c>
      <x:c r="AL238" s="10" t="n">
        <x:v>10.72</x:v>
      </x:c>
      <x:c r="AM238" s="10" t="n">
        <x:v>21.59</x:v>
      </x:c>
      <x:c r="AN238" s="10" t="n">
        <x:v>56</x:v>
      </x:c>
      <x:c r="AO238" s="9" t="str">
        <x:v>2026-10-21</x:v>
      </x:c>
      <x:c r="AP238" s="11" t="str">
        <x:f>HYPERLINK("https://www.pricecharting.com/game/pal-playstation/egypt-1156-bc-tomb-of-the-pharaoh","PriceCharting")</x:f>
        <x:v>PriceCharting</x:v>
      </x:c>
      <x:c r="AQ238" s="9"/>
      <x:c r="AR238" s="9"/>
      <x:c r="AS238" s="9"/>
      <x:c r="AT238" s="9"/>
      <x:c r="AU238" s="9"/>
      <x:c r="AV238" s="9"/>
      <x:c r="AW238" s="9"/>
      <x:c r="AX238" s="9"/>
      <x:c r="AY238" s="9"/>
      <x:c r="AZ238" s="9"/>
      <x:c r="BA238" s="11" t="str">
        <x:f>HYPERLINK("https://www.mobygames.com/game/2624","MobyGames")</x:f>
        <x:v>MobyGames</x:v>
      </x:c>
      <x:c r="BB238" s="9" t="str">
        <x:v>50%</x:v>
      </x:c>
      <x:c r="BC238" s="9" t="str">
        <x:v>Joypad on Wikipedia, 1 review</x:v>
      </x:c>
      <x:c r="BD238" s="9" t="str">
        <x:f>HYPERLINK("https://en.wikipedia.org/wiki/Egypt_1156_B.C.","Source")</x:f>
        <x:v>Source</x:v>
      </x:c>
      <x:c r="BE238" s="11" t="str">
        <x:f>HYPERLINK("https://en.wikipedia.org/wiki/Egypt_1156_B.C.","Wikipedia")</x:f>
        <x:v>Wikipedia</x:v>
      </x:c>
      <x:c r="BF238" s="11" t="str">
        <x:f>HYPERLINK("https://backloggd.com/search/games/Egypt%201156%20B.C.%3A%20Tomb%20of%20the%20Pharaoh/","Backloggd")</x:f>
        <x:v>Backloggd</x:v>
      </x:c>
      <x:c r="BG238" s="9"/>
      <x:c r="BH238" s="9"/>
      <x:c r="BI238" s="12" t="str">
        <x:v>No</x:v>
      </x:c>
      <x:c r="BJ238" s="12" t="str"/>
      <x:c r="BK238" s="12" t="str">
        <x:v>No</x:v>
      </x:c>
      <x:c r="BL238" s="12" t="str"/>
      <x:c r="BM238" s="12" t="str"/>
      <x:c r="BN238" s="12" t="str"/>
      <x:c r="BO238" s="12" t="str"/>
      <x:c r="BP238" s="12" t="str"/>
      <x:c r="BQ238" s="12" t="str"/>
    </x:row>
    <x:row r="239">
      <x:c r="A239" s="9" t="str">
        <x:v>ps1-26</x:v>
      </x:c>
      <x:c r="B239" s="9" t="str">
        <x:v>china-the-forbidden-city</x:v>
      </x:c>
      <x:c r="C239" s="9" t="str">
        <x:v>PlayStation</x:v>
      </x:c>
      <x:c r="D239" s="9" t="str">
        <x:v>China: The Forbidden City</x:v>
      </x:c>
      <x:c r="E239" s="9" t="str">
        <x:v>China</x:v>
      </x:c>
      <x:c r="F239" s="9" t="str">
        <x:v>Cryo Interactive</x:v>
      </x:c>
      <x:c r="G239" s="9" t="str">
        <x:v>Cryo Interactive (EU)</x:v>
      </x:c>
      <x:c r="H239" s="9" t="n">
        <x:v>1999</x:v>
      </x:c>
      <x:c r="I239" s="9" t="str">
        <x:v>No</x:v>
      </x:c>
      <x:c r="J239" s="9" t="str">
        <x:v>No</x:v>
      </x:c>
      <x:c r="K239" s="9" t="str">
        <x:v>Yes</x:v>
      </x:c>
      <x:c r="L239" s="9" t="str">
        <x:v>No</x:v>
      </x:c>
      <x:c r="M239" s="9" t="str">
        <x:v>Edutainment adventure</x:v>
      </x:c>
      <x:c r="N239" s="9" t="str">
        <x:v>Pre-rendered CG</x:v>
      </x:c>
      <x:c r="O239" s="9" t="n">
        <x:v>3</x:v>
      </x:c>
      <x:c r="P239" s="9" t="str">
        <x:v>Pre-rendered CG</x:v>
      </x:c>
      <x:c r="Q239" s="9" t="str">
        <x:v>Released</x:v>
      </x:c>
      <x:c r="R239" s="9" t="str">
        <x:v>Original production; PC original (1998)</x:v>
      </x:c>
      <x:c r="S239" s="9" t="str">
        <x:v>Windows</x:v>
      </x:c>
      <x:c r="T239" s="9" t="str">
        <x:v>—</x:v>
      </x:c>
      <x:c r="U239" s="9" t="str">
        <x:v>Unknown — verify</x:v>
      </x:c>
      <x:c r="V239" s="9" t="str">
        <x:v>Yes</x:v>
      </x:c>
      <x:c r="W239" s="9" t="str">
        <x:v>Memory card; PlayStation Mouse support (verify)</x:v>
      </x:c>
      <x:c r="X239" s="9" t="str">
        <x:v>Low</x:v>
      </x:c>
      <x:c r="Y239" s="9" t="str"/>
      <x:c r="Z239" s="9" t="str">
        <x:v>4–6 hr</x:v>
      </x:c>
      <x:c r="AA239" s="9" t="str">
        <x:v>Solve murders in the 1775 Qing Forbidden City, Cryo-style.</x:v>
      </x:c>
      <x:c r="AB239" s="9" t="str">
        <x:v>None known</x:v>
      </x:c>
      <x:c r="AC239" s="9" t="str">
        <x:v>Panoramic pre-rendered nodes and CG cutscenes (verify)</x:v>
      </x:c>
      <x:c r="AD239" s="9" t="str">
        <x:v>Easy–moderate</x:v>
      </x:c>
      <x:c r="AE239" s="9" t="str">
        <x:v>Single ending</x:v>
      </x:c>
      <x:c r="AF239" s="9" t="str">
        <x:v>Third in Cryo's historical-museum adventure line after Egypt and Versailles.</x:v>
      </x:c>
      <x:c r="AG239" s="9" t="str"/>
      <x:c r="AH239" s="9" t="str">
        <x:v>No</x:v>
      </x:c>
      <x:c r="AI239" s="9" t="str">
        <x:v>Import</x:v>
      </x:c>
      <x:c r="AJ239" s="9"/>
      <x:c r="AK239" s="9" t="str">
        <x:v>EU only on PS1: SLES-02297 and SLES-02090, released 17 November 1999 (retrogametalk dump listing).</x:v>
      </x:c>
      <x:c r="AL239" s="10"/>
      <x:c r="AM239" s="10" t="n">
        <x:v>30.78</x:v>
      </x:c>
      <x:c r="AN239" s="10" t="n">
        <x:v>146.49</x:v>
      </x:c>
      <x:c r="AO239" s="9" t="str">
        <x:v>2026-10-21</x:v>
      </x:c>
      <x:c r="AP239" s="11" t="str">
        <x:f>HYPERLINK("https://www.pricecharting.com/game/pal-playstation/china","PriceCharting")</x:f>
        <x:v>PriceCharting</x:v>
      </x:c>
      <x:c r="AQ239" s="9"/>
      <x:c r="AR239" s="9"/>
      <x:c r="AS239" s="9"/>
      <x:c r="AT239" s="9"/>
      <x:c r="AU239" s="9"/>
      <x:c r="AV239" s="9"/>
      <x:c r="AW239" s="9"/>
      <x:c r="AX239" s="9"/>
      <x:c r="AY239" s="9"/>
      <x:c r="AZ239" s="9"/>
      <x:c r="BA239" s="11" t="str">
        <x:f>HYPERLINK("https://www.mobygames.com/game/4659/china-the-forbidden-city/","MobyGames")</x:f>
        <x:v>MobyGames</x:v>
      </x:c>
      <x:c r="BB239" s="9"/>
      <x:c r="BC239" s="9"/>
      <x:c r="BD239" s="9"/>
      <x:c r="BE239" s="11" t="str">
        <x:f>HYPERLINK("https://en.wikipedia.org/wiki/China:_The_Forbidden_City","Wikipedia")</x:f>
        <x:v>Wikipedia</x:v>
      </x:c>
      <x:c r="BF239" s="11" t="str">
        <x:f>HYPERLINK("https://backloggd.com/search/games/China%3A%20The%20Forbidden%20City/","Backloggd")</x:f>
        <x:v>Backloggd</x:v>
      </x:c>
      <x:c r="BG239" s="9"/>
      <x:c r="BH239" s="9"/>
      <x:c r="BI239" s="12" t="str">
        <x:v>No</x:v>
      </x:c>
      <x:c r="BJ239" s="12" t="str"/>
      <x:c r="BK239" s="12" t="str">
        <x:v>No</x:v>
      </x:c>
      <x:c r="BL239" s="12" t="str"/>
      <x:c r="BM239" s="12" t="str"/>
      <x:c r="BN239" s="12" t="str"/>
      <x:c r="BO239" s="12" t="str"/>
      <x:c r="BP239" s="12" t="str"/>
      <x:c r="BQ239" s="12" t="str"/>
    </x:row>
    <x:row r="240">
      <x:c r="A240" s="9" t="str">
        <x:v>ps1-27</x:v>
      </x:c>
      <x:c r="B240" s="9" t="str">
        <x:v>louvre-the-final-curse</x:v>
      </x:c>
      <x:c r="C240" s="9" t="str">
        <x:v>PlayStation</x:v>
      </x:c>
      <x:c r="D240" s="9" t="str">
        <x:v>Louvre: The Final Curse</x:v>
      </x:c>
      <x:c r="E240" s="9" t="str">
        <x:v>Louvre: L'ultime malédiction</x:v>
      </x:c>
      <x:c r="F240" s="9" t="str">
        <x:v>Index+ / Cryo</x:v>
      </x:c>
      <x:c r="G240" s="9" t="str">
        <x:v>Cryo Interactive (EU)</x:v>
      </x:c>
      <x:c r="H240" s="9" t="n">
        <x:v>2001</x:v>
      </x:c>
      <x:c r="I240" s="9" t="str">
        <x:v>No</x:v>
      </x:c>
      <x:c r="J240" s="9" t="str">
        <x:v>No</x:v>
      </x:c>
      <x:c r="K240" s="9" t="str">
        <x:v>Yes</x:v>
      </x:c>
      <x:c r="L240" s="9" t="str">
        <x:v>No</x:v>
      </x:c>
      <x:c r="M240" s="9" t="str">
        <x:v>Edutainment adventure</x:v>
      </x:c>
      <x:c r="N240" s="9" t="str">
        <x:v>Pre-rendered CG</x:v>
      </x:c>
      <x:c r="O240" s="9" t="n">
        <x:v>3</x:v>
      </x:c>
      <x:c r="P240" s="9" t="str">
        <x:v>Pre-rendered CG</x:v>
      </x:c>
      <x:c r="Q240" s="9" t="str">
        <x:v>Released</x:v>
      </x:c>
      <x:c r="R240" s="9" t="str">
        <x:v>Original production with the Louvre; PC original</x:v>
      </x:c>
      <x:c r="S240" s="9" t="str">
        <x:v>Windows</x:v>
      </x:c>
      <x:c r="T240" s="9" t="str">
        <x:v>—</x:v>
      </x:c>
      <x:c r="U240" s="9" t="n">
        <x:v>2</x:v>
      </x:c>
      <x:c r="V240" s="9" t="str">
        <x:v>Yes</x:v>
      </x:c>
      <x:c r="W240" s="9" t="str">
        <x:v>Memory card; PlayStation Mouse support (verify)</x:v>
      </x:c>
      <x:c r="X240" s="9" t="str">
        <x:v>Low</x:v>
      </x:c>
      <x:c r="Y240" s="9" t="str"/>
      <x:c r="Z240" s="9" t="str">
        <x:v>4–6 hr</x:v>
      </x:c>
      <x:c r="AA240" s="9" t="str">
        <x:v>Time-hopping curse mystery through the Louvre's history.</x:v>
      </x:c>
      <x:c r="AB240" s="9" t="str">
        <x:v>None known</x:v>
      </x:c>
      <x:c r="AC240" s="9" t="str">
        <x:v>Panoramic pre-rendered nodes and CG cutscenes (verify)</x:v>
      </x:c>
      <x:c r="AD240" s="9" t="str">
        <x:v>Moderate</x:v>
      </x:c>
      <x:c r="AE240" s="9" t="str">
        <x:v>Single ending</x:v>
      </x:c>
      <x:c r="AF240" s="9" t="str">
        <x:v>Made in partnership with the Louvre and RMN.</x:v>
      </x:c>
      <x:c r="AG240" s="9" t="str"/>
      <x:c r="AH240" s="9" t="str">
        <x:v>No</x:v>
      </x:c>
      <x:c r="AI240" s="9" t="str">
        <x:v>Import</x:v>
      </x:c>
      <x:c r="AJ240" s="9"/>
      <x:c r="AK240" s="9" t="str">
        <x:v>EU only (SLES-03158/03159/03160/03161/03174). Released 16 November 2001 (PlayStation Datacenter), which credits Wanadoo and Visual Impact Productions as developers and Microïds as publisher.</x:v>
      </x:c>
      <x:c r="AL240" s="10" t="n">
        <x:v>7.6</x:v>
      </x:c>
      <x:c r="AM240" s="10" t="n">
        <x:v>19.06</x:v>
      </x:c>
      <x:c r="AN240" s="10" t="n">
        <x:v>50</x:v>
      </x:c>
      <x:c r="AO240" s="9" t="str">
        <x:v>2026-10-21</x:v>
      </x:c>
      <x:c r="AP240" s="11" t="str">
        <x:f>HYPERLINK("https://www.pricecharting.com/game/pal-playstation/louvre-the-final-curse","PriceCharting")</x:f>
        <x:v>PriceCharting</x:v>
      </x:c>
      <x:c r="AQ240" s="9"/>
      <x:c r="AR240" s="9"/>
      <x:c r="AS240" s="9"/>
      <x:c r="AT240" s="9"/>
      <x:c r="AU240" s="9"/>
      <x:c r="AV240" s="9"/>
      <x:c r="AW240" s="9"/>
      <x:c r="AX240" s="9"/>
      <x:c r="AY240" s="9"/>
      <x:c r="AZ240" s="9"/>
      <x:c r="BA240" s="11" t="str">
        <x:f>HYPERLINK("https://www.mobygames.com/search/?q=Louvre%3A+The+Final+Curse","MobyGames")</x:f>
        <x:v>MobyGames</x:v>
      </x:c>
      <x:c r="BB240" s="9"/>
      <x:c r="BC240" s="9"/>
      <x:c r="BD240" s="9"/>
      <x:c r="BE240" s="9"/>
      <x:c r="BF240" s="11" t="str">
        <x:f>HYPERLINK("https://backloggd.com/search/games/Louvre%3A%20The%20Final%20Curse/","Backloggd")</x:f>
        <x:v>Backloggd</x:v>
      </x:c>
      <x:c r="BG240" s="9"/>
      <x:c r="BH240" s="9"/>
      <x:c r="BI240" s="12" t="str">
        <x:v>No</x:v>
      </x:c>
      <x:c r="BJ240" s="12" t="str"/>
      <x:c r="BK240" s="12" t="str">
        <x:v>No</x:v>
      </x:c>
      <x:c r="BL240" s="12" t="str"/>
      <x:c r="BM240" s="12" t="str"/>
      <x:c r="BN240" s="12" t="str"/>
      <x:c r="BO240" s="12" t="str"/>
      <x:c r="BP240" s="12" t="str"/>
      <x:c r="BQ240" s="12" t="str"/>
    </x:row>
    <x:row r="241">
      <x:c r="A241" s="9" t="str">
        <x:v>ps1-28</x:v>
      </x:c>
      <x:c r="B241" s="9" t="str">
        <x:v>necronomicon-the-dawning-of-darkness</x:v>
      </x:c>
      <x:c r="C241" s="9" t="str">
        <x:v>PlayStation</x:v>
      </x:c>
      <x:c r="D241" s="9" t="str">
        <x:v>Necronomicon: The Dawning of Darkness</x:v>
      </x:c>
      <x:c r="E241" s="9" t="str">
        <x:v>Necronomicon: The Gateway to Beyond (PC NA)</x:v>
      </x:c>
      <x:c r="F241" s="9" t="str">
        <x:v>Wanadoo Edition</x:v>
      </x:c>
      <x:c r="G241" s="9" t="str">
        <x:v>Wanadoo (EU)</x:v>
      </x:c>
      <x:c r="H241" s="9" t="n">
        <x:v>2001</x:v>
      </x:c>
      <x:c r="I241" s="9" t="str">
        <x:v>No</x:v>
      </x:c>
      <x:c r="J241" s="9" t="str">
        <x:v>No</x:v>
      </x:c>
      <x:c r="K241" s="9" t="str">
        <x:v>Yes</x:v>
      </x:c>
      <x:c r="L241" s="9" t="str">
        <x:v>No</x:v>
      </x:c>
      <x:c r="M241" s="9" t="str">
        <x:v>First-person Lovecraftian adventure</x:v>
      </x:c>
      <x:c r="N241" s="9" t="str">
        <x:v>Pre-rendered CG</x:v>
      </x:c>
      <x:c r="O241" s="9" t="n">
        <x:v>3</x:v>
      </x:c>
      <x:c r="P241" s="9" t="str">
        <x:v>Pre-rendered CG</x:v>
      </x:c>
      <x:c r="Q241" s="9" t="str">
        <x:v>Released</x:v>
      </x:c>
      <x:c r="R241" s="9" t="str">
        <x:v>Inspired by H. P. Lovecraft; PC original</x:v>
      </x:c>
      <x:c r="S241" s="9" t="str">
        <x:v>Windows</x:v>
      </x:c>
      <x:c r="T241" s="9" t="str">
        <x:v>—</x:v>
      </x:c>
      <x:c r="U241" s="9" t="n">
        <x:v>2</x:v>
      </x:c>
      <x:c r="V241" s="9" t="str">
        <x:v>Yes</x:v>
      </x:c>
      <x:c r="W241" s="9" t="str">
        <x:v>Standard controller (analog compatible); PlayStation Mouse; memory card (1 block)</x:v>
      </x:c>
      <x:c r="X241" s="9" t="str">
        <x:v>Low</x:v>
      </x:c>
      <x:c r="Y241" s="9" t="str"/>
      <x:c r="Z241" s="9" t="str">
        <x:v>4–6 hr</x:v>
      </x:c>
      <x:c r="AA241" s="9" t="str">
        <x:v>A Lovecraft adventure in 1927 Providence, told in French-studio CG cinematics.</x:v>
      </x:c>
      <x:c r="AB241" s="9" t="str">
        <x:v>None known</x:v>
      </x:c>
      <x:c r="AC241" s="9" t="str">
        <x:v>Panoramic pre-rendered nodes and CG cutscenes (verify)</x:v>
      </x:c>
      <x:c r="AD241" s="9" t="str">
        <x:v>Moderate</x:v>
      </x:c>
      <x:c r="AE241" s="9" t="str">
        <x:v>Single ending</x:v>
      </x:c>
      <x:c r="AF241" s="9" t="str">
        <x:v>PC version was sold in North America as The Gateway to Beyond.</x:v>
      </x:c>
      <x:c r="AG241" s="9" t="str"/>
      <x:c r="AH241" s="9" t="str">
        <x:v>No</x:v>
      </x:c>
      <x:c r="AI241" s="9" t="str">
        <x:v>Import</x:v>
      </x:c>
      <x:c r="AJ241" s="9"/>
      <x:c r="AK241" s="9" t="str">
        <x:v>EU only on PS1 as far as found (SLES-03493–03498); NA PS1 release unconfirmed.</x:v>
      </x:c>
      <x:c r="AL241" s="10" t="n">
        <x:v>17.09</x:v>
      </x:c>
      <x:c r="AM241" s="10" t="n">
        <x:v>26.16</x:v>
      </x:c>
      <x:c r="AN241" s="10" t="n">
        <x:v>58.32</x:v>
      </x:c>
      <x:c r="AO241" s="9" t="str">
        <x:v>2026-10-21</x:v>
      </x:c>
      <x:c r="AP241" s="11" t="str">
        <x:f>HYPERLINK("https://www.pricecharting.com/game/pal-playstation/necronomicon-the-dawning-of-darkness","PriceCharting")</x:f>
        <x:v>PriceCharting</x:v>
      </x:c>
      <x:c r="AQ241" s="9"/>
      <x:c r="AR241" s="9"/>
      <x:c r="AS241" s="9"/>
      <x:c r="AT241" s="9"/>
      <x:c r="AU241" s="9"/>
      <x:c r="AV241" s="9"/>
      <x:c r="AW241" s="9"/>
      <x:c r="AX241" s="9"/>
      <x:c r="AY241" s="9"/>
      <x:c r="AZ241" s="9"/>
      <x:c r="BA241" s="11" t="str">
        <x:f>HYPERLINK("https://www.mobygames.com/game/4798/necronomicon-the-gateway-to-beyond/","MobyGames")</x:f>
        <x:v>MobyGames</x:v>
      </x:c>
      <x:c r="BB241" s="9"/>
      <x:c r="BC241" s="9"/>
      <x:c r="BD241" s="9"/>
      <x:c r="BE241" s="11" t="str">
        <x:f>HYPERLINK("https://en.wikipedia.org/wiki/Necronomicon:_The_Dawning_of_Darkness","Wikipedia")</x:f>
        <x:v>Wikipedia</x:v>
      </x:c>
      <x:c r="BF241" s="11" t="str">
        <x:f>HYPERLINK("https://backloggd.com/search/games/Necronomicon%3A%20The%20Dawning%20of%20Darkness/","Backloggd")</x:f>
        <x:v>Backloggd</x:v>
      </x:c>
      <x:c r="BG241" s="9"/>
      <x:c r="BH241" s="9"/>
      <x:c r="BI241" s="12" t="str">
        <x:v>No</x:v>
      </x:c>
      <x:c r="BJ241" s="12" t="str"/>
      <x:c r="BK241" s="12" t="str">
        <x:v>No</x:v>
      </x:c>
      <x:c r="BL241" s="12" t="str"/>
      <x:c r="BM241" s="12" t="str"/>
      <x:c r="BN241" s="12" t="str"/>
      <x:c r="BO241" s="12" t="str"/>
      <x:c r="BP241" s="12" t="str"/>
      <x:c r="BQ241" s="12" t="str"/>
    </x:row>
    <x:row r="242">
      <x:c r="A242" s="9" t="str">
        <x:v>ps1-29</x:v>
      </x:c>
      <x:c r="B242" s="9" t="str">
        <x:v>the-city-of-lost-children</x:v>
      </x:c>
      <x:c r="C242" s="9" t="str">
        <x:v>PlayStation</x:v>
      </x:c>
      <x:c r="D242" s="9" t="str">
        <x:v>The City of Lost Children</x:v>
      </x:c>
      <x:c r="E242" s="9" t="str"/>
      <x:c r="F242" s="9" t="str">
        <x:v>Psygnosis</x:v>
      </x:c>
      <x:c r="G242" s="9" t="str">
        <x:v>Psygnosis (NA/EU); Gamebank (JP)</x:v>
      </x:c>
      <x:c r="H242" s="9" t="n">
        <x:v>1997</x:v>
      </x:c>
      <x:c r="I242" s="9" t="str">
        <x:v>Yes</x:v>
      </x:c>
      <x:c r="J242" s="9" t="str">
        <x:v>Yes</x:v>
      </x:c>
      <x:c r="K242" s="9" t="str">
        <x:v>Yes</x:v>
      </x:c>
      <x:c r="L242" s="9" t="str">
        <x:v>No</x:v>
      </x:c>
      <x:c r="M242" s="9" t="str">
        <x:v>Adventure</x:v>
      </x:c>
      <x:c r="N242" s="9" t="str">
        <x:v>Pre-rendered CG</x:v>
      </x:c>
      <x:c r="O242" s="9" t="n">
        <x:v>3</x:v>
      </x:c>
      <x:c r="P242" s="9" t="str">
        <x:v>Pre-rendered CG</x:v>
      </x:c>
      <x:c r="Q242" s="9" t="str">
        <x:v>Released</x:v>
      </x:c>
      <x:c r="R242" s="9" t="str">
        <x:v>Film license (Jeunet &amp; Caro, 1995)</x:v>
      </x:c>
      <x:c r="S242" s="9" t="str">
        <x:v>Windows</x:v>
      </x:c>
      <x:c r="T242" s="9" t="str">
        <x:v>—</x:v>
      </x:c>
      <x:c r="U242" s="9" t="n">
        <x:v>1</x:v>
      </x:c>
      <x:c r="V242" s="9" t="str">
        <x:v>Yes</x:v>
      </x:c>
      <x:c r="W242" s="9" t="str">
        <x:v>Memory card</x:v>
      </x:c>
      <x:c r="X242" s="9" t="str">
        <x:v>Low–Med</x:v>
      </x:c>
      <x:c r="Y242" s="9" t="str">
        <x:v>Film-derived music/visuals; no film footage used (verify)</x:v>
      </x:c>
      <x:c r="Z242" s="9" t="str">
        <x:v>4–6 hr</x:v>
      </x:c>
      <x:c r="AA242" s="9" t="str">
        <x:v>Play Miette in a game version of Jeunet &amp; Caro's surreal film.</x:v>
      </x:c>
      <x:c r="AB242" s="9" t="str">
        <x:v>None known</x:v>
      </x:c>
      <x:c r="AC242" s="9" t="str">
        <x:v>Pre-rendered backgrounds with CG FMV cutscenes (verify)</x:v>
      </x:c>
      <x:c r="AD242" s="9" t="str">
        <x:v>Moderate; fiddly controls</x:v>
      </x:c>
      <x:c r="AE242" s="9" t="str">
        <x:v>Single ending</x:v>
      </x:c>
      <x:c r="AF242" s="9" t="str">
        <x:v>Released in all three regions (SCUS-94150, SLES-00638, SLPS-00971).</x:v>
      </x:c>
      <x:c r="AG242" s="9" t="str"/>
      <x:c r="AH242" s="9" t="str">
        <x:v>No</x:v>
      </x:c>
      <x:c r="AI242" s="9" t="str">
        <x:v>Easy</x:v>
      </x:c>
      <x:c r="AJ242" s="9"/>
      <x:c r="AK242" s="9" t="str"/>
      <x:c r="AL242" s="10" t="n">
        <x:v>64.99</x:v>
      </x:c>
      <x:c r="AM242" s="10" t="n">
        <x:v>185.04</x:v>
      </x:c>
      <x:c r="AN242" s="10" t="n">
        <x:v>331.94</x:v>
      </x:c>
      <x:c r="AO242" s="9" t="str">
        <x:v>2026-10-21</x:v>
      </x:c>
      <x:c r="AP242" s="11" t="str">
        <x:f>HYPERLINK("https://www.pricecharting.com/game/playstation/the-city-of-lost-children","PriceCharting")</x:f>
        <x:v>PriceCharting</x:v>
      </x:c>
      <x:c r="AQ242" s="9"/>
      <x:c r="AR242" s="9"/>
      <x:c r="AS242" s="9"/>
      <x:c r="AT242" s="9"/>
      <x:c r="AU242" s="9"/>
      <x:c r="AV242" s="9"/>
      <x:c r="AW242" s="9"/>
      <x:c r="AX242" s="9"/>
      <x:c r="AY242" s="9"/>
      <x:c r="AZ242" s="9"/>
      <x:c r="BA242" s="11" t="str">
        <x:f>HYPERLINK("https://www.mobygames.com/game/3842/the-city-of-lost-children/","MobyGames")</x:f>
        <x:v>MobyGames</x:v>
      </x:c>
      <x:c r="BB242" s="9" t="str">
        <x:v>54%</x:v>
      </x:c>
      <x:c r="BC242" s="9" t="str">
        <x:v>GameRankings, 4 reviews</x:v>
      </x:c>
      <x:c r="BD242" s="9" t="str">
        <x:f>HYPERLINK("https://web.archive.org/web/20191209013155id_/https://www.gamerankings.com/ps/196923-the-city-of-lost-children/","Source")</x:f>
        <x:v>Source</x:v>
      </x:c>
      <x:c r="BE242" s="11" t="str">
        <x:f>HYPERLINK("https://en.wikipedia.org/wiki/The_City_of_Lost_Children_(video_game)","Wikipedia")</x:f>
        <x:v>Wikipedia</x:v>
      </x:c>
      <x:c r="BF242" s="11" t="str">
        <x:f>HYPERLINK("https://backloggd.com/search/games/The%20City%20of%20Lost%20Children/","Backloggd")</x:f>
        <x:v>Backloggd</x:v>
      </x:c>
      <x:c r="BG242" s="9"/>
      <x:c r="BH242" s="9"/>
      <x:c r="BI242" s="12" t="str">
        <x:v>No</x:v>
      </x:c>
      <x:c r="BJ242" s="12" t="str"/>
      <x:c r="BK242" s="12" t="str">
        <x:v>No</x:v>
      </x:c>
      <x:c r="BL242" s="12" t="str"/>
      <x:c r="BM242" s="12" t="str"/>
      <x:c r="BN242" s="12" t="str"/>
      <x:c r="BO242" s="12" t="str"/>
      <x:c r="BP242" s="12" t="str"/>
      <x:c r="BQ242" s="12" t="str"/>
    </x:row>
    <x:row r="243">
      <x:c r="A243" s="9" t="str">
        <x:v>ps1-30</x:v>
      </x:c>
      <x:c r="B243" s="9" t="str">
        <x:v>discworld-ii-missing-presumed</x:v>
      </x:c>
      <x:c r="C243" s="9" t="str">
        <x:v>PlayStation</x:v>
      </x:c>
      <x:c r="D243" s="9" t="str">
        <x:v>Discworld II: Missing Presumed...!?</x:v>
      </x:c>
      <x:c r="E243" s="9" t="str">
        <x:v>Discworld II: Mortality Bytes! (NA)</x:v>
      </x:c>
      <x:c r="F243" s="9" t="str">
        <x:v>Perfect 10 Productions</x:v>
      </x:c>
      <x:c r="G243" s="9" t="str">
        <x:v>Psygnosis (EU, NA)</x:v>
      </x:c>
      <x:c r="H243" s="9" t="n">
        <x:v>1997</x:v>
      </x:c>
      <x:c r="I243" s="9" t="str">
        <x:v>Yes</x:v>
      </x:c>
      <x:c r="J243" s="9" t="str">
        <x:v>No</x:v>
      </x:c>
      <x:c r="K243" s="9" t="str">
        <x:v>Yes</x:v>
      </x:c>
      <x:c r="L243" s="9" t="str">
        <x:v>No</x:v>
      </x:c>
      <x:c r="M243" s="9" t="str">
        <x:v>Point-and-click adventure</x:v>
      </x:c>
      <x:c r="N243" s="9" t="str">
        <x:v>Animated</x:v>
      </x:c>
      <x:c r="O243" s="9" t="n">
        <x:v>3</x:v>
      </x:c>
      <x:c r="P243" s="9" t="str">
        <x:v>Cutscenes only</x:v>
      </x:c>
      <x:c r="Q243" s="9" t="str">
        <x:v>Released</x:v>
      </x:c>
      <x:c r="R243" s="9" t="str">
        <x:v>Terry Pratchett's Discworld novels; PC original (1996)</x:v>
      </x:c>
      <x:c r="S243" s="9" t="str">
        <x:v>DOS/Windows, Saturn</x:v>
      </x:c>
      <x:c r="T243" s="9" t="str">
        <x:v>Eric Idle (Rincewind), Tony Robinson, Nigel Planer, Kate Robbins</x:v>
      </x:c>
      <x:c r="U243" s="9" t="n">
        <x:v>2</x:v>
      </x:c>
      <x:c r="V243" s="9" t="str">
        <x:v>Yes</x:v>
      </x:c>
      <x:c r="W243" s="9" t="str">
        <x:v>Memory card; PlayStation Mouse support (verify)</x:v>
      </x:c>
      <x:c r="X243" s="9" t="str">
        <x:v>Low–Med</x:v>
      </x:c>
      <x:c r="Y243" s="9" t="str">
        <x:v>Eric Idle's original song 'That's Death' (verify)</x:v>
      </x:c>
      <x:c r="Z243" s="9" t="str">
        <x:v>10–15 hr</x:v>
      </x:c>
      <x:c r="AA243" s="9" t="str">
        <x:v>Eric Idle's Rincewind hunts a missing Death, with cartoon-quality animated cutscenes and a Python-esque song.</x:v>
      </x:c>
      <x:c r="AB243" s="9" t="str">
        <x:v>None known</x:v>
      </x:c>
      <x:c r="AC243" s="9" t="str">
        <x:v>Full-screen hand-drawn animated FMV cutscenes (verify)</x:v>
      </x:c>
      <x:c r="AD243" s="9" t="str">
        <x:v>Hard but fairer than the first</x:v>
      </x:c>
      <x:c r="AE243" s="9" t="str">
        <x:v>Single ending</x:v>
      </x:c>
      <x:c r="AF243" s="9" t="str">
        <x:v>Retitled Mortality Bytes! for North America (SCUS-94605).</x:v>
      </x:c>
      <x:c r="AG243" s="9" t="str"/>
      <x:c r="AH243" s="9" t="str">
        <x:v>No</x:v>
      </x:c>
      <x:c r="AI243" s="9" t="str">
        <x:v>Easy</x:v>
      </x:c>
      <x:c r="AJ243" s="9"/>
      <x:c r="AK243" s="9" t="str">
        <x:v>Disc count verify.</x:v>
      </x:c>
      <x:c r="AL243" s="10" t="n">
        <x:v>26.4</x:v>
      </x:c>
      <x:c r="AM243" s="10" t="n">
        <x:v>44.96</x:v>
      </x:c>
      <x:c r="AN243" s="10" t="n">
        <x:v>117</x:v>
      </x:c>
      <x:c r="AO243" s="9" t="str">
        <x:v>2026-10-21</x:v>
      </x:c>
      <x:c r="AP243" s="11" t="str">
        <x:f>HYPERLINK("https://www.pricecharting.com/game/pal-playstation/discworld-ii","PriceCharting")</x:f>
        <x:v>PriceCharting</x:v>
      </x:c>
      <x:c r="AQ243" s="9"/>
      <x:c r="AR243" s="9"/>
      <x:c r="AS243" s="9"/>
      <x:c r="AT243" s="9"/>
      <x:c r="AU243" s="9"/>
      <x:c r="AV243" s="9"/>
      <x:c r="AW243" s="9"/>
      <x:c r="AX243" s="9"/>
      <x:c r="AY243" s="9"/>
      <x:c r="AZ243" s="9"/>
      <x:c r="BA243" s="11" t="str">
        <x:f>HYPERLINK("https://www.mobygames.com/search/?q=Discworld+II%3A+Missing+Presumed...%21%3F","MobyGames")</x:f>
        <x:v>MobyGames</x:v>
      </x:c>
      <x:c r="BB243" s="9" t="str">
        <x:v>71%</x:v>
      </x:c>
      <x:c r="BC243" s="9" t="str">
        <x:v>GameRankings, 1 review</x:v>
      </x:c>
      <x:c r="BD243" s="9" t="str">
        <x:f>HYPERLINK("https://web.archive.org/web/20191209013736id_/https://www.gamerankings.com/ps/562796-discworld-ii-mortality-bytes/","Source")</x:f>
        <x:v>Source</x:v>
      </x:c>
      <x:c r="BE243" s="11" t="str">
        <x:f>HYPERLINK("https://en.wikipedia.org/wiki/Discworld_II:_Missing_Presumed...!%3F","Wikipedia")</x:f>
        <x:v>Wikipedia</x:v>
      </x:c>
      <x:c r="BF243" s="11" t="str">
        <x:f>HYPERLINK("https://backloggd.com/search/games/Discworld%20II%3A%20Missing%20Presumed...%21%3F/","Backloggd")</x:f>
        <x:v>Backloggd</x:v>
      </x:c>
      <x:c r="BG243" s="9"/>
      <x:c r="BH243" s="9"/>
      <x:c r="BI243" s="12" t="str">
        <x:v>No</x:v>
      </x:c>
      <x:c r="BJ243" s="12" t="str"/>
      <x:c r="BK243" s="12" t="str">
        <x:v>No</x:v>
      </x:c>
      <x:c r="BL243" s="12" t="str"/>
      <x:c r="BM243" s="12" t="str"/>
      <x:c r="BN243" s="12" t="str"/>
      <x:c r="BO243" s="12" t="str"/>
      <x:c r="BP243" s="12" t="str"/>
      <x:c r="BQ243" s="12" t="str"/>
    </x:row>
    <x:row r="244">
      <x:c r="A244" s="9" t="str">
        <x:v>ps1-31</x:v>
      </x:c>
      <x:c r="B244" s="9" t="str">
        <x:v>broken-sword-the-shadow-of-the-templars</x:v>
      </x:c>
      <x:c r="C244" s="9" t="str">
        <x:v>PlayStation</x:v>
      </x:c>
      <x:c r="D244" s="9" t="str">
        <x:v>Broken Sword: The Shadow of the Templars</x:v>
      </x:c>
      <x:c r="E244" s="9" t="str">
        <x:v>Circle of Blood (PC NA); Baphomets Fluch (DE)</x:v>
      </x:c>
      <x:c r="F244" s="9" t="str">
        <x:v>Revolution Software</x:v>
      </x:c>
      <x:c r="G244" s="9" t="str">
        <x:v>Sony Computer Entertainment (EU), THQ (NA)</x:v>
      </x:c>
      <x:c r="H244" s="9" t="n">
        <x:v>1997</x:v>
      </x:c>
      <x:c r="I244" s="9" t="str">
        <x:v>Yes</x:v>
      </x:c>
      <x:c r="J244" s="9" t="str">
        <x:v>No</x:v>
      </x:c>
      <x:c r="K244" s="9" t="str">
        <x:v>Yes</x:v>
      </x:c>
      <x:c r="L244" s="9" t="str">
        <x:v>No</x:v>
      </x:c>
      <x:c r="M244" s="9" t="str">
        <x:v>Point-and-click adventure</x:v>
      </x:c>
      <x:c r="N244" s="9" t="str">
        <x:v>Animated</x:v>
      </x:c>
      <x:c r="O244" s="9" t="n">
        <x:v>2</x:v>
      </x:c>
      <x:c r="P244" s="9" t="str">
        <x:v>Cutscenes only</x:v>
      </x:c>
      <x:c r="Q244" s="9" t="str">
        <x:v>Released</x:v>
      </x:c>
      <x:c r="R244" s="9" t="str">
        <x:v>Original production; PC original (1996)</x:v>
      </x:c>
      <x:c r="S244" s="9" t="str">
        <x:v>DOS/Windows, GBA, Wii, DS, iOS, Android; Reforged remaster (2024)</x:v>
      </x:c>
      <x:c r="T244" s="9" t="str">
        <x:v>Rolf Saxon (George Stobbart), Hazel Ellerby (Nico Collard)</x:v>
      </x:c>
      <x:c r="U244" s="9" t="n">
        <x:v>1</x:v>
      </x:c>
      <x:c r="V244" s="9" t="str">
        <x:v>Yes</x:v>
      </x:c>
      <x:c r="W244" s="9" t="str">
        <x:v>Memory card; PlayStation Mouse support (verify)</x:v>
      </x:c>
      <x:c r="X244" s="9" t="str">
        <x:v>Low</x:v>
      </x:c>
      <x:c r="Y244" s="9" t="str"/>
      <x:c r="Z244" s="9" t="str">
        <x:v>10–12 hr</x:v>
      </x:c>
      <x:c r="AA244" s="9" t="str">
        <x:v>Classic Templar conspiracy with hand-drawn, film-quality animated cutscenes.</x:v>
      </x:c>
      <x:c r="AB244" s="9" t="str">
        <x:v>None known</x:v>
      </x:c>
      <x:c r="AC244" s="9" t="str">
        <x:v>Full-screen hand-drawn animated FMV cutscenes (verify)</x:v>
      </x:c>
      <x:c r="AD244" s="9" t="str">
        <x:v>Moderate; goat puzzle</x:v>
      </x:c>
      <x:c r="AE244" s="9" t="str">
        <x:v>Single ending; a few death scenes</x:v>
      </x:c>
      <x:c r="AF244" s="9" t="str">
        <x:v>Animated by a team including ex-Don Bluth staff; THQ released it in NA in 1998 (SLUS-00484).</x:v>
      </x:c>
      <x:c r="AG244" s="9" t="str"/>
      <x:c r="AH244" s="9" t="str">
        <x:v>Yes (Director's Cut and Reforged on modern consoles/PC)</x:v>
      </x:c>
      <x:c r="AI244" s="9" t="str">
        <x:v>Easy</x:v>
      </x:c>
      <x:c r="AJ244" s="9"/>
      <x:c r="AK244" s="9" t="str">
        <x:v>Notable animated cutscenes; borderline for scope.</x:v>
      </x:c>
      <x:c r="AL244" s="10" t="n">
        <x:v>15</x:v>
      </x:c>
      <x:c r="AM244" s="10" t="n">
        <x:v>35.65</x:v>
      </x:c>
      <x:c r="AN244" s="10" t="n">
        <x:v>89.99</x:v>
      </x:c>
      <x:c r="AO244" s="9" t="str">
        <x:v>2026-10-21</x:v>
      </x:c>
      <x:c r="AP244" s="11" t="str">
        <x:f>HYPERLINK("https://www.pricecharting.com/game/playstation/broken-sword-the-shadow-of-the-templars","PriceCharting")</x:f>
        <x:v>PriceCharting</x:v>
      </x:c>
      <x:c r="AQ244" s="9"/>
      <x:c r="AR244" s="9"/>
      <x:c r="AS244" s="9"/>
      <x:c r="AT244" s="9"/>
      <x:c r="AU244" s="9"/>
      <x:c r="AV244" s="9"/>
      <x:c r="AW244" s="9"/>
      <x:c r="AX244" s="9"/>
      <x:c r="AY244" s="9"/>
      <x:c r="AZ244" s="9"/>
      <x:c r="BA244" s="11" t="str">
        <x:f>HYPERLINK("https://www.mobygames.com/search/?q=Broken+Sword%3A+The+Shadow+of+the+Templars","MobyGames")</x:f>
        <x:v>MobyGames</x:v>
      </x:c>
      <x:c r="BB244" s="9" t="str">
        <x:v>81%</x:v>
      </x:c>
      <x:c r="BC244" s="9" t="str">
        <x:v>GameRankings, 6 reviews</x:v>
      </x:c>
      <x:c r="BD244" s="9" t="str">
        <x:f>HYPERLINK("https://web.archive.org/web/20191209012731id_/https://www.gamerankings.com/ps/196824-broken-sword-the-shadow-of-the-templars/","Source")</x:f>
        <x:v>Source</x:v>
      </x:c>
      <x:c r="BE244" s="11" t="str">
        <x:f>HYPERLINK("https://en.wikipedia.org/wiki/Broken_Sword:_The_Shadow_of_the_Templars","Wikipedia")</x:f>
        <x:v>Wikipedia</x:v>
      </x:c>
      <x:c r="BF244" s="11" t="str">
        <x:f>HYPERLINK("https://backloggd.com/search/games/Broken%20Sword%3A%20The%20Shadow%20of%20the%20Templars/","Backloggd")</x:f>
        <x:v>Backloggd</x:v>
      </x:c>
      <x:c r="BG244" s="9"/>
      <x:c r="BH244" s="9"/>
      <x:c r="BI244" s="12" t="str">
        <x:v>No</x:v>
      </x:c>
      <x:c r="BJ244" s="12" t="str"/>
      <x:c r="BK244" s="12" t="str">
        <x:v>No</x:v>
      </x:c>
      <x:c r="BL244" s="12" t="str"/>
      <x:c r="BM244" s="12" t="str"/>
      <x:c r="BN244" s="12" t="str"/>
      <x:c r="BO244" s="12" t="str"/>
      <x:c r="BP244" s="12" t="str"/>
      <x:c r="BQ244" s="12" t="str"/>
    </x:row>
    <x:row r="245">
      <x:c r="A245" s="9" t="str">
        <x:v>ps1-32</x:v>
      </x:c>
      <x:c r="B245" s="9" t="str">
        <x:v>broken-sword-ii-the-smoking-mirror</x:v>
      </x:c>
      <x:c r="C245" s="9" t="str">
        <x:v>PlayStation</x:v>
      </x:c>
      <x:c r="D245" s="9" t="str">
        <x:v>Broken Sword II: The Smoking Mirror</x:v>
      </x:c>
      <x:c r="E245" s="9" t="str"/>
      <x:c r="F245" s="9" t="str">
        <x:v>Revolution Software</x:v>
      </x:c>
      <x:c r="G245" s="9" t="str">
        <x:v>Sony Computer Entertainment (EU), Crave Entertainment (NA)</x:v>
      </x:c>
      <x:c r="H245" s="9" t="n">
        <x:v>1998</x:v>
      </x:c>
      <x:c r="I245" s="9" t="str">
        <x:v>Yes</x:v>
      </x:c>
      <x:c r="J245" s="9" t="str">
        <x:v>No</x:v>
      </x:c>
      <x:c r="K245" s="9" t="str">
        <x:v>Yes</x:v>
      </x:c>
      <x:c r="L245" s="9" t="str">
        <x:v>No</x:v>
      </x:c>
      <x:c r="M245" s="9" t="str">
        <x:v>Point-and-click adventure</x:v>
      </x:c>
      <x:c r="N245" s="9" t="str">
        <x:v>Animated</x:v>
      </x:c>
      <x:c r="O245" s="9" t="n">
        <x:v>2</x:v>
      </x:c>
      <x:c r="P245" s="9" t="str">
        <x:v>Cutscenes only</x:v>
      </x:c>
      <x:c r="Q245" s="9" t="str">
        <x:v>Released</x:v>
      </x:c>
      <x:c r="R245" s="9" t="str">
        <x:v>Original production; PC original (1997)</x:v>
      </x:c>
      <x:c r="S245" s="9" t="str">
        <x:v>Windows, GBA, iOS, Android; Reforged remaster (2025)</x:v>
      </x:c>
      <x:c r="T245" s="9" t="str">
        <x:v>Rolf Saxon (George Stobbart), Jenny Caron Hall (Nico Collard)</x:v>
      </x:c>
      <x:c r="U245" s="9" t="n">
        <x:v>1</x:v>
      </x:c>
      <x:c r="V245" s="9" t="str">
        <x:v>Yes</x:v>
      </x:c>
      <x:c r="W245" s="9" t="str">
        <x:v>Memory card; PlayStation Mouse support (verify)</x:v>
      </x:c>
      <x:c r="X245" s="9" t="str">
        <x:v>Low</x:v>
      </x:c>
      <x:c r="Y245" s="9" t="str"/>
      <x:c r="Z245" s="9" t="str">
        <x:v>8–10 hr</x:v>
      </x:c>
      <x:c r="AA245" s="9" t="str">
        <x:v>George and Nico chase a Mayan conspiracy with more hand-drawn animated cinematics.</x:v>
      </x:c>
      <x:c r="AB245" s="9" t="str">
        <x:v>None known</x:v>
      </x:c>
      <x:c r="AC245" s="9" t="str">
        <x:v>Full-screen hand-drawn animated FMV cutscenes (verify)</x:v>
      </x:c>
      <x:c r="AD245" s="9" t="str">
        <x:v>Moderate</x:v>
      </x:c>
      <x:c r="AE245" s="9" t="str">
        <x:v>Single ending</x:v>
      </x:c>
      <x:c r="AF245" s="9" t="str">
        <x:v>Crave shipped the NA PS1 version (SLUS-00812) in 1999.</x:v>
      </x:c>
      <x:c r="AG245" s="9" t="str"/>
      <x:c r="AH245" s="9" t="str">
        <x:v>Yes (Remastered; Reforged 2025)</x:v>
      </x:c>
      <x:c r="AI245" s="9" t="str">
        <x:v>Easy</x:v>
      </x:c>
      <x:c r="AJ245" s="9"/>
      <x:c r="AK245" s="9" t="str">
        <x:v>NA year possibly 1999.</x:v>
      </x:c>
      <x:c r="AL245" s="10" t="n">
        <x:v>14.19</x:v>
      </x:c>
      <x:c r="AM245" s="10" t="n">
        <x:v>19.5</x:v>
      </x:c>
      <x:c r="AN245" s="10" t="n">
        <x:v>50.07</x:v>
      </x:c>
      <x:c r="AO245" s="9" t="str">
        <x:v>2026-10-21</x:v>
      </x:c>
      <x:c r="AP245" s="11" t="str">
        <x:f>HYPERLINK("https://www.pricecharting.com/game/playstation/broken-sword-2","PriceCharting")</x:f>
        <x:v>PriceCharting</x:v>
      </x:c>
      <x:c r="AQ245" s="9"/>
      <x:c r="AR245" s="9"/>
      <x:c r="AS245" s="9"/>
      <x:c r="AT245" s="9"/>
      <x:c r="AU245" s="9"/>
      <x:c r="AV245" s="9"/>
      <x:c r="AW245" s="9"/>
      <x:c r="AX245" s="9"/>
      <x:c r="AY245" s="9"/>
      <x:c r="AZ245" s="9"/>
      <x:c r="BA245" s="11" t="str">
        <x:f>HYPERLINK("https://www.mobygames.com/search/?q=Broken+Sword+II%3A+The+Smoking+Mirror","MobyGames")</x:f>
        <x:v>MobyGames</x:v>
      </x:c>
      <x:c r="BB245" s="9" t="str">
        <x:v>73%</x:v>
      </x:c>
      <x:c r="BC245" s="9" t="str">
        <x:v>GameRankings, 17 reviews</x:v>
      </x:c>
      <x:c r="BD245" s="9" t="str">
        <x:f>HYPERLINK("https://web.archive.org/web/20191209012724id_/https://www.gamerankings.com/ps/196823-broken-sword-ii-the-smoking-mirror/","Source")</x:f>
        <x:v>Source</x:v>
      </x:c>
      <x:c r="BE245" s="11" t="str">
        <x:f>HYPERLINK("https://en.wikipedia.org/wiki/Broken_Sword_II:_The_Smoking_Mirror","Wikipedia")</x:f>
        <x:v>Wikipedia</x:v>
      </x:c>
      <x:c r="BF245" s="11" t="str">
        <x:f>HYPERLINK("https://backloggd.com/search/games/Broken%20Sword%20II%3A%20The%20Smoking%20Mirror/","Backloggd")</x:f>
        <x:v>Backloggd</x:v>
      </x:c>
      <x:c r="BG245" s="9"/>
      <x:c r="BH245" s="9"/>
      <x:c r="BI245" s="12" t="str">
        <x:v>No</x:v>
      </x:c>
      <x:c r="BJ245" s="12" t="str"/>
      <x:c r="BK245" s="12" t="str">
        <x:v>No</x:v>
      </x:c>
      <x:c r="BL245" s="12" t="str"/>
      <x:c r="BM245" s="12" t="str"/>
      <x:c r="BN245" s="12" t="str"/>
      <x:c r="BO245" s="12" t="str"/>
      <x:c r="BP245" s="12" t="str"/>
      <x:c r="BQ245" s="12" t="str"/>
    </x:row>
    <x:row r="246">
      <x:c r="A246" s="9" t="str">
        <x:v>ps1-33</x:v>
      </x:c>
      <x:c r="B246" s="9" t="str">
        <x:v>cyberia</x:v>
      </x:c>
      <x:c r="C246" s="9" t="str">
        <x:v>PlayStation</x:v>
      </x:c>
      <x:c r="D246" s="9" t="str">
        <x:v>Cyberia</x:v>
      </x:c>
      <x:c r="E246" s="9" t="str"/>
      <x:c r="F246" s="9" t="str">
        <x:v>Xatrix Entertainment</x:v>
      </x:c>
      <x:c r="G246" s="9" t="str">
        <x:v>Interplay (NA, EU)</x:v>
      </x:c>
      <x:c r="H246" s="9" t="n">
        <x:v>1996</x:v>
      </x:c>
      <x:c r="I246" s="9" t="str">
        <x:v>Yes</x:v>
      </x:c>
      <x:c r="J246" s="9" t="str">
        <x:v>No</x:v>
      </x:c>
      <x:c r="K246" s="9" t="str">
        <x:v>Yes</x:v>
      </x:c>
      <x:c r="L246" s="9" t="str">
        <x:v>No</x:v>
      </x:c>
      <x:c r="M246" s="9" t="str">
        <x:v>Rail shooter / adventure</x:v>
      </x:c>
      <x:c r="N246" s="9" t="str">
        <x:v>Pre-rendered CG</x:v>
      </x:c>
      <x:c r="O246" s="9" t="n">
        <x:v>7</x:v>
      </x:c>
      <x:c r="P246" s="9" t="str">
        <x:v>Pre-rendered CG</x:v>
      </x:c>
      <x:c r="Q246" s="9" t="str">
        <x:v>Released</x:v>
      </x:c>
      <x:c r="R246" s="9" t="str">
        <x:v>Original production; PC original (1994)</x:v>
      </x:c>
      <x:c r="S246" s="9" t="str">
        <x:v>MS-DOS, 3DO, FM Towns, Sega Saturn</x:v>
      </x:c>
      <x:c r="T246" s="9" t="str">
        <x:v>—</x:v>
      </x:c>
      <x:c r="U246" s="9" t="n">
        <x:v>1</x:v>
      </x:c>
      <x:c r="V246" s="9" t="str">
        <x:v>Yes</x:v>
      </x:c>
      <x:c r="W246" s="9" t="str">
        <x:v>Memory card</x:v>
      </x:c>
      <x:c r="X246" s="9" t="str">
        <x:v>Low</x:v>
      </x:c>
      <x:c r="Y246" s="9" t="str"/>
      <x:c r="Z246" s="9" t="str">
        <x:v>3–5 hr</x:v>
      </x:c>
      <x:c r="AA246" s="9" t="str">
        <x:v>Gunner sequences over full-screen pre-rendered CG video — a showcase of mid-90s render farms.</x:v>
      </x:c>
      <x:c r="AB246" s="9" t="str">
        <x:v>None known</x:v>
      </x:c>
      <x:c r="AC246" s="9" t="str">
        <x:v>Full-screen pre-rendered CG video under a gun turret overlay, plus adventure scenes (verify)</x:v>
      </x:c>
      <x:c r="AD246" s="9" t="str">
        <x:v>Moderate–hard; memorization</x:v>
      </x:c>
      <x:c r="AE246" s="9" t="str">
        <x:v>Single ending</x:v>
      </x:c>
      <x:c r="AF246" s="9" t="str">
        <x:v>Score by Thomas Dolby's Headspace.</x:v>
      </x:c>
      <x:c r="AG246" s="9" t="str"/>
      <x:c r="AH246" s="9" t="str">
        <x:v>No</x:v>
      </x:c>
      <x:c r="AI246" s="9" t="str">
        <x:v>Easy</x:v>
      </x:c>
      <x:c r="AJ246" s="9"/>
      <x:c r="AK246" s="9" t="str"/>
      <x:c r="AL246" s="10" t="n">
        <x:v>6.87</x:v>
      </x:c>
      <x:c r="AM246" s="10" t="n">
        <x:v>24.35</x:v>
      </x:c>
      <x:c r="AN246" s="10" t="n">
        <x:v>69.04</x:v>
      </x:c>
      <x:c r="AO246" s="9" t="str">
        <x:v>2026-10-21</x:v>
      </x:c>
      <x:c r="AP246" s="11" t="str">
        <x:f>HYPERLINK("https://www.pricecharting.com/game/playstation/cyberia","PriceCharting")</x:f>
        <x:v>PriceCharting</x:v>
      </x:c>
      <x:c r="AQ246" s="9"/>
      <x:c r="AR246" s="9"/>
      <x:c r="AS246" s="9"/>
      <x:c r="AT246" s="9"/>
      <x:c r="AU246" s="9"/>
      <x:c r="AV246" s="9"/>
      <x:c r="AW246" s="9"/>
      <x:c r="AX246" s="9"/>
      <x:c r="AY246" s="9" t="str">
        <x:v>67%</x:v>
      </x:c>
      <x:c r="AZ246" s="9" t="str">
        <x:v>3.0</x:v>
      </x:c>
      <x:c r="BA246" s="11" t="str">
        <x:f>HYPERLINK("https://www.mobygames.com/game/810/cyberia/","MobyGames")</x:f>
        <x:v>MobyGames</x:v>
      </x:c>
      <x:c r="BB246" s="9" t="str">
        <x:v>60%</x:v>
      </x:c>
      <x:c r="BC246" s="9" t="str">
        <x:v>average of 1 review on Wikipedia (IGN)</x:v>
      </x:c>
      <x:c r="BD246" s="9" t="str">
        <x:f>HYPERLINK("https://en.wikipedia.org/wiki/Cyberia_%28video_game%29","Source")</x:f>
        <x:v>Source</x:v>
      </x:c>
      <x:c r="BE246" s="11" t="str">
        <x:f>HYPERLINK("https://en.wikipedia.org/wiki/Cyberia_(video_game)","Wikipedia")</x:f>
        <x:v>Wikipedia</x:v>
      </x:c>
      <x:c r="BF246" s="11" t="str">
        <x:f>HYPERLINK("https://backloggd.com/search/games/Cyberia/","Backloggd")</x:f>
        <x:v>Backloggd</x:v>
      </x:c>
      <x:c r="BG246" s="9"/>
      <x:c r="BH246" s="9"/>
      <x:c r="BI246" s="12" t="str">
        <x:v>No</x:v>
      </x:c>
      <x:c r="BJ246" s="12" t="str"/>
      <x:c r="BK246" s="12" t="str">
        <x:v>No</x:v>
      </x:c>
      <x:c r="BL246" s="12" t="str"/>
      <x:c r="BM246" s="12" t="str"/>
      <x:c r="BN246" s="12" t="str"/>
      <x:c r="BO246" s="12" t="str"/>
      <x:c r="BP246" s="12" t="str"/>
      <x:c r="BQ246" s="12" t="str"/>
    </x:row>
    <x:row r="247">
      <x:c r="A247" s="9" t="str">
        <x:v>ps1-34</x:v>
      </x:c>
      <x:c r="B247" s="9" t="str">
        <x:v>the-raven-project</x:v>
      </x:c>
      <x:c r="C247" s="9" t="str">
        <x:v>PlayStation</x:v>
      </x:c>
      <x:c r="D247" s="9" t="str">
        <x:v>The Raven Project</x:v>
      </x:c>
      <x:c r="E247" s="9" t="str"/>
      <x:c r="F247" s="9" t="str">
        <x:v>Cryo Interactive</x:v>
      </x:c>
      <x:c r="G247" s="9" t="str">
        <x:v>Mindscape (EU)</x:v>
      </x:c>
      <x:c r="H247" s="9" t="n">
        <x:v>1996</x:v>
      </x:c>
      <x:c r="I247" s="9" t="str">
        <x:v>No</x:v>
      </x:c>
      <x:c r="J247" s="9" t="str">
        <x:v>No</x:v>
      </x:c>
      <x:c r="K247" s="9" t="str">
        <x:v>Yes</x:v>
      </x:c>
      <x:c r="L247" s="9" t="str">
        <x:v>No</x:v>
      </x:c>
      <x:c r="M247" s="9" t="str">
        <x:v>Space combat / rail shooter</x:v>
      </x:c>
      <x:c r="N247" s="9" t="str">
        <x:v>Live-action + CG</x:v>
      </x:c>
      <x:c r="O247" s="9" t="n">
        <x:v>5</x:v>
      </x:c>
      <x:c r="P247" s="9" t="str">
        <x:v>Interactive movie</x:v>
      </x:c>
      <x:c r="Q247" s="9" t="str">
        <x:v>Released</x:v>
      </x:c>
      <x:c r="R247" s="9" t="str">
        <x:v>Original production; PC original (1995)</x:v>
      </x:c>
      <x:c r="S247" s="9" t="str">
        <x:v>DOS</x:v>
      </x:c>
      <x:c r="T247" s="9" t="str">
        <x:v>Unknown — verify</x:v>
      </x:c>
      <x:c r="U247" s="9" t="n">
        <x:v>1</x:v>
      </x:c>
      <x:c r="V247" s="9" t="str">
        <x:v>Yes</x:v>
      </x:c>
      <x:c r="W247" s="9" t="str">
        <x:v>Standard controller; memory card (1 block)</x:v>
      </x:c>
      <x:c r="X247" s="9" t="str">
        <x:v>Low</x:v>
      </x:c>
      <x:c r="Y247" s="9" t="str"/>
      <x:c r="Z247" s="9" t="str">
        <x:v>3–5 hr</x:v>
      </x:c>
      <x:c r="AA247" s="9" t="str">
        <x:v>Cryo's alien-invasion shooter with live-action briefings over pre-rendered landscapes.</x:v>
      </x:c>
      <x:c r="AB247" s="9" t="str">
        <x:v>None known</x:v>
      </x:c>
      <x:c r="AC247" s="9" t="str">
        <x:v>Live-action cutscenes and CG backgrounds (verify)</x:v>
      </x:c>
      <x:c r="AD247" s="9" t="str">
        <x:v>Unknown — verify</x:v>
      </x:c>
      <x:c r="AE247" s="9" t="str">
        <x:v>Single ending</x:v>
      </x:c>
      <x:c r="AF247" s="9" t="str">
        <x:v>Cryo built it on a hybrid of polygon craft and pre-rendered terrain.</x:v>
      </x:c>
      <x:c r="AG247" s="9" t="str"/>
      <x:c r="AH247" s="9" t="str">
        <x:v>No</x:v>
      </x:c>
      <x:c r="AI247" s="9" t="str">
        <x:v>Import</x:v>
      </x:c>
      <x:c r="AJ247" s="9"/>
      <x:c r="AK247" s="9" t="str">
        <x:v>EU only (SLES-00039/00519).</x:v>
      </x:c>
      <x:c r="AL247" s="10"/>
      <x:c r="AM247" s="10"/>
      <x:c r="AN247" s="10"/>
      <x:c r="AO247" s="9"/>
      <x:c r="AP247" s="11" t="str">
        <x:f>HYPERLINK("https://www.pricecharting.com/game/pal-playstation/raven-project","PriceCharting")</x:f>
        <x:v>PriceCharting</x:v>
      </x:c>
      <x:c r="AQ247" s="9"/>
      <x:c r="AR247" s="9"/>
      <x:c r="AS247" s="9"/>
      <x:c r="AT247" s="9"/>
      <x:c r="AU247" s="9"/>
      <x:c r="AV247" s="9"/>
      <x:c r="AW247" s="9"/>
      <x:c r="AX247" s="9"/>
      <x:c r="AY247" s="9"/>
      <x:c r="AZ247" s="9"/>
      <x:c r="BA247" s="11" t="str">
        <x:f>HYPERLINK("https://www.mobygames.com/game/9043/the-raven-project/","MobyGames")</x:f>
        <x:v>MobyGames</x:v>
      </x:c>
      <x:c r="BB247" s="9"/>
      <x:c r="BC247" s="9"/>
      <x:c r="BD247" s="9"/>
      <x:c r="BE247" s="9"/>
      <x:c r="BF247" s="11" t="str">
        <x:f>HYPERLINK("https://backloggd.com/search/games/The%20Raven%20Project/","Backloggd")</x:f>
        <x:v>Backloggd</x:v>
      </x:c>
      <x:c r="BG247" s="9"/>
      <x:c r="BH247" s="9"/>
      <x:c r="BI247" s="12" t="str">
        <x:v>No</x:v>
      </x:c>
      <x:c r="BJ247" s="12" t="str"/>
      <x:c r="BK247" s="12" t="str">
        <x:v>No</x:v>
      </x:c>
      <x:c r="BL247" s="12" t="str"/>
      <x:c r="BM247" s="12" t="str"/>
      <x:c r="BN247" s="12" t="str"/>
      <x:c r="BO247" s="12" t="str"/>
      <x:c r="BP247" s="12" t="str"/>
      <x:c r="BQ247" s="12" t="str"/>
    </x:row>
    <x:row r="248">
      <x:c r="A248" s="9" t="str">
        <x:v>ps1-35</x:v>
      </x:c>
      <x:c r="B248" s="9" t="str">
        <x:v>shockwave-assault</x:v>
      </x:c>
      <x:c r="C248" s="9" t="str">
        <x:v>PlayStation</x:v>
      </x:c>
      <x:c r="D248" s="9" t="str">
        <x:v>Shockwave Assault</x:v>
      </x:c>
      <x:c r="E248" s="9" t="str"/>
      <x:c r="F248" s="9" t="str">
        <x:v>Advanced Technology Group / Electronic Arts</x:v>
      </x:c>
      <x:c r="G248" s="9" t="str">
        <x:v>Electronic Arts</x:v>
      </x:c>
      <x:c r="H248" s="9" t="n">
        <x:v>1996</x:v>
      </x:c>
      <x:c r="I248" s="9" t="str">
        <x:v>Yes</x:v>
      </x:c>
      <x:c r="J248" s="9" t="str">
        <x:v>No</x:v>
      </x:c>
      <x:c r="K248" s="9" t="str">
        <x:v>Yes</x:v>
      </x:c>
      <x:c r="L248" s="9" t="str">
        <x:v>No</x:v>
      </x:c>
      <x:c r="M248" s="9" t="str">
        <x:v>Flight combat</x:v>
      </x:c>
      <x:c r="N248" s="9" t="str">
        <x:v>Live-action</x:v>
      </x:c>
      <x:c r="O248" s="9" t="n">
        <x:v>3</x:v>
      </x:c>
      <x:c r="P248" s="9" t="str">
        <x:v>Cutscenes only</x:v>
      </x:c>
      <x:c r="Q248" s="9" t="str">
        <x:v>Released</x:v>
      </x:c>
      <x:c r="R248" s="9" t="str">
        <x:v>3DO original (Shock Wave + Operation Jumpgate)</x:v>
      </x:c>
      <x:c r="S248" s="9" t="str">
        <x:v>3DO, Windows, Mac OS, Pippin, Saturn</x:v>
      </x:c>
      <x:c r="T248" s="9" t="str">
        <x:v>Unknown — verify</x:v>
      </x:c>
      <x:c r="U248" s="9" t="n">
        <x:v>1</x:v>
      </x:c>
      <x:c r="V248" s="9" t="str">
        <x:v>Yes</x:v>
      </x:c>
      <x:c r="W248" s="9" t="str">
        <x:v>Memory card</x:v>
      </x:c>
      <x:c r="X248" s="9" t="str">
        <x:v>Low</x:v>
      </x:c>
      <x:c r="Y248" s="9" t="str"/>
      <x:c r="Z248" s="9" t="str">
        <x:v>4–6 hr</x:v>
      </x:c>
      <x:c r="AA248" s="9" t="str">
        <x:v>Live-action alien-invasion briefings bookend 3D flight combat.</x:v>
      </x:c>
      <x:c r="AB248" s="9" t="str">
        <x:v>None known</x:v>
      </x:c>
      <x:c r="AC248" s="9" t="str">
        <x:v>Live-action FMV briefings and cutscenes (verify)</x:v>
      </x:c>
      <x:c r="AD248" s="9" t="str">
        <x:v>Moderate–hard</x:v>
      </x:c>
      <x:c r="AE248" s="9" t="str">
        <x:v>Single ending</x:v>
      </x:c>
      <x:c r="AF248" s="9" t="str">
        <x:v>Combines the 3DO's Shock Wave and Operation Jumpgate.</x:v>
      </x:c>
      <x:c r="AG248" s="9" t="str"/>
      <x:c r="AH248" s="9" t="str">
        <x:v>No</x:v>
      </x:c>
      <x:c r="AI248" s="9" t="str">
        <x:v>Easy</x:v>
      </x:c>
      <x:c r="AJ248" s="9"/>
      <x:c r="AK248" s="9" t="str"/>
      <x:c r="AL248" s="10" t="n">
        <x:v>7.22</x:v>
      </x:c>
      <x:c r="AM248" s="10" t="n">
        <x:v>21.54</x:v>
      </x:c>
      <x:c r="AN248" s="10" t="n">
        <x:v>70</x:v>
      </x:c>
      <x:c r="AO248" s="9" t="str">
        <x:v>2026-10-21</x:v>
      </x:c>
      <x:c r="AP248" s="11" t="str">
        <x:f>HYPERLINK("https://www.pricecharting.com/game/playstation/shockwave-assault","PriceCharting")</x:f>
        <x:v>PriceCharting</x:v>
      </x:c>
      <x:c r="AQ248" s="9"/>
      <x:c r="AR248" s="9"/>
      <x:c r="AS248" s="9"/>
      <x:c r="AT248" s="9"/>
      <x:c r="AU248" s="9"/>
      <x:c r="AV248" s="9"/>
      <x:c r="AW248" s="9"/>
      <x:c r="AX248" s="9"/>
      <x:c r="AY248" s="9" t="str">
        <x:v>66%</x:v>
      </x:c>
      <x:c r="AZ248" s="9"/>
      <x:c r="BA248" s="11" t="str">
        <x:f>HYPERLINK("https://www.mobygames.com/search/?q=Shockwave+Assault","MobyGames")</x:f>
        <x:v>MobyGames</x:v>
      </x:c>
      <x:c r="BB248" s="9" t="str">
        <x:v>40%</x:v>
      </x:c>
      <x:c r="BC248" s="9" t="str">
        <x:v>GameRankings, 1 review</x:v>
      </x:c>
      <x:c r="BD248" s="9" t="str">
        <x:f>HYPERLINK("https://web.archive.org/web/20191209015433id_/https://www.gamerankings.com/ps/572543-shockwave-assault/","Source")</x:f>
        <x:v>Source</x:v>
      </x:c>
      <x:c r="BE248" s="9"/>
      <x:c r="BF248" s="11" t="str">
        <x:f>HYPERLINK("https://backloggd.com/search/games/Shockwave%20Assault/","Backloggd")</x:f>
        <x:v>Backloggd</x:v>
      </x:c>
      <x:c r="BG248" s="9"/>
      <x:c r="BH248" s="9"/>
      <x:c r="BI248" s="12" t="str">
        <x:v>No</x:v>
      </x:c>
      <x:c r="BJ248" s="12" t="str"/>
      <x:c r="BK248" s="12" t="str">
        <x:v>No</x:v>
      </x:c>
      <x:c r="BL248" s="12" t="str"/>
      <x:c r="BM248" s="12" t="str"/>
      <x:c r="BN248" s="12" t="str"/>
      <x:c r="BO248" s="12" t="str"/>
      <x:c r="BP248" s="12" t="str"/>
      <x:c r="BQ248" s="12" t="str"/>
    </x:row>
    <x:row r="249">
      <x:c r="A249" s="9" t="str">
        <x:v>ps1-36</x:v>
      </x:c>
      <x:c r="B249" s="9" t="str">
        <x:v>command-and-conquer</x:v>
      </x:c>
      <x:c r="C249" s="9" t="str">
        <x:v>PlayStation</x:v>
      </x:c>
      <x:c r="D249" s="9" t="str">
        <x:v>Command &amp; Conquer</x:v>
      </x:c>
      <x:c r="E249" s="9" t="str"/>
      <x:c r="F249" s="9" t="str">
        <x:v>Westwood Studios</x:v>
      </x:c>
      <x:c r="G249" s="9" t="str">
        <x:v>Virgin Interactive</x:v>
      </x:c>
      <x:c r="H249" s="9" t="n">
        <x:v>1996</x:v>
      </x:c>
      <x:c r="I249" s="9" t="str">
        <x:v>Yes</x:v>
      </x:c>
      <x:c r="J249" s="9" t="str">
        <x:v>Yes</x:v>
      </x:c>
      <x:c r="K249" s="9" t="str">
        <x:v>Yes</x:v>
      </x:c>
      <x:c r="L249" s="9" t="str">
        <x:v>No</x:v>
      </x:c>
      <x:c r="M249" s="9" t="str">
        <x:v>Real-time strategy</x:v>
      </x:c>
      <x:c r="N249" s="9" t="str">
        <x:v>Live-action + pre-rendered CG</x:v>
      </x:c>
      <x:c r="O249" s="9" t="n">
        <x:v>3</x:v>
      </x:c>
      <x:c r="P249" s="9" t="str">
        <x:v>Cutscenes only</x:v>
      </x:c>
      <x:c r="Q249" s="9" t="str">
        <x:v>Released</x:v>
      </x:c>
      <x:c r="R249" s="9" t="str">
        <x:v>PC original (1995)</x:v>
      </x:c>
      <x:c r="S249" s="9" t="str">
        <x:v>PC, Mac, Saturn, N64</x:v>
      </x:c>
      <x:c r="T249" s="9" t="str">
        <x:v>Joseph D. Kucan (Kane), Eric Alan Martin (General Mark Sheppard); remaining briefing roles played by Westwood staff</x:v>
      </x:c>
      <x:c r="U249" s="9" t="n">
        <x:v>2</x:v>
      </x:c>
      <x:c r="V249" s="9" t="str">
        <x:v>Yes</x:v>
      </x:c>
      <x:c r="W249" s="9" t="str">
        <x:v>PlayStation Mouse; Link Cable for 2-player; memory card</x:v>
      </x:c>
      <x:c r="X249" s="9" t="str">
        <x:v>Low</x:v>
      </x:c>
      <x:c r="Y249" s="9" t="str"/>
      <x:c r="Z249" s="9" t="str">
        <x:v>15–25 hr</x:v>
      </x:c>
      <x:c r="AA249" s="9" t="str">
        <x:v>Kane's live-action sermons and the low-budget GDI/Nod briefings are the template every FMV-era strategy game copied.</x:v>
      </x:c>
      <x:c r="AB249" s="9" t="str">
        <x:v>None known (verify)</x:v>
      </x:c>
      <x:c r="AC249" s="9" t="str">
        <x:v>Briefings in a window over a CG frame, roughly 15 fps (verify)</x:v>
      </x:c>
      <x:c r="AD249" s="9" t="str">
        <x:v>Hard late missions; controller play is clumsy without the mouse</x:v>
      </x:c>
      <x:c r="AE249" s="9" t="str">
        <x:v>GDI and Nod campaigns, each with its own ending (Nod has good/evil endings on PC; verify on PS1)</x:v>
      </x:c>
      <x:c r="AF249" s="9" t="str">
        <x:v>Kane was played by Westwood's own cinematics director Joseph Kucan, who stayed in the role for every later C&amp;C game.</x:v>
      </x:c>
      <x:c r="AG249" s="9" t="str">
        <x:v>2-disc set (GDI and Nod); Greatest Hits? (verify); JP release by Victor (verify)</x:v>
      </x:c>
      <x:c r="AH249" s="9" t="str">
        <x:v>Yes (C&amp;C Remastered Collection, PC; includes the FMV)</x:v>
      </x:c>
      <x:c r="AI249" s="9" t="str">
        <x:v>Easy</x:v>
      </x:c>
      <x:c r="AJ249" s="9"/>
      <x:c r="AK249" s="9" t="str">
        <x:v>JP release flagged from memory (verify).</x:v>
      </x:c>
      <x:c r="AL249" s="10" t="n">
        <x:v>15.46</x:v>
      </x:c>
      <x:c r="AM249" s="10" t="n">
        <x:v>31.11</x:v>
      </x:c>
      <x:c r="AN249" s="10" t="n">
        <x:v>144.12</x:v>
      </x:c>
      <x:c r="AO249" s="9" t="str">
        <x:v>2026-10-21</x:v>
      </x:c>
      <x:c r="AP249" s="11" t="str">
        <x:f>HYPERLINK("https://www.pricecharting.com/game/playstation/command-and-conquer","PriceCharting")</x:f>
        <x:v>PriceCharting</x:v>
      </x:c>
      <x:c r="AQ249" s="9"/>
      <x:c r="AR249" s="9"/>
      <x:c r="AS249" s="9"/>
      <x:c r="AT249" s="9"/>
      <x:c r="AU249" s="9"/>
      <x:c r="AV249" s="9"/>
      <x:c r="AW249" s="9"/>
      <x:c r="AX249" s="9"/>
      <x:c r="AY249" s="9"/>
      <x:c r="AZ249" s="9"/>
      <x:c r="BA249" s="11" t="str">
        <x:f>HYPERLINK("https://www.mobygames.com/search/?q=Command+%26+Conquer","MobyGames")</x:f>
        <x:v>MobyGames</x:v>
      </x:c>
      <x:c r="BB249" s="9" t="str">
        <x:v>87%</x:v>
      </x:c>
      <x:c r="BC249" s="9" t="str">
        <x:v>GameRankings, 6 reviews</x:v>
      </x:c>
      <x:c r="BD249" s="9" t="str">
        <x:f>HYPERLINK("https://web.archive.org/web/20191209014639id_/https://www.gamerankings.com/ps/7940-command-and-conquer/","Source")</x:f>
        <x:v>Source</x:v>
      </x:c>
      <x:c r="BE249" s="11" t="str">
        <x:f>HYPERLINK("https://en.wikipedia.org/wiki/Command_%26_Conquer_(1995_video_game)","Wikipedia")</x:f>
        <x:v>Wikipedia</x:v>
      </x:c>
      <x:c r="BF249" s="11" t="str">
        <x:f>HYPERLINK("https://backloggd.com/search/games/Command%20%26%20Conquer/","Backloggd")</x:f>
        <x:v>Backloggd</x:v>
      </x:c>
      <x:c r="BG249" s="9"/>
      <x:c r="BH249" s="9"/>
      <x:c r="BI249" s="12" t="str">
        <x:v>No</x:v>
      </x:c>
      <x:c r="BJ249" s="12" t="str"/>
      <x:c r="BK249" s="12" t="str">
        <x:v>No</x:v>
      </x:c>
      <x:c r="BL249" s="12" t="str"/>
      <x:c r="BM249" s="12" t="str"/>
      <x:c r="BN249" s="12" t="str"/>
      <x:c r="BO249" s="12" t="str"/>
      <x:c r="BP249" s="12" t="str"/>
      <x:c r="BQ249" s="12" t="str"/>
    </x:row>
    <x:row r="250">
      <x:c r="A250" s="9" t="str">
        <x:v>ps1-37</x:v>
      </x:c>
      <x:c r="B250" s="9" t="str">
        <x:v>command-and-conquer-red-alert</x:v>
      </x:c>
      <x:c r="C250" s="9" t="str">
        <x:v>PlayStation</x:v>
      </x:c>
      <x:c r="D250" s="9" t="str">
        <x:v>Command &amp; Conquer: Red Alert</x:v>
      </x:c>
      <x:c r="E250" s="9" t="str"/>
      <x:c r="F250" s="9" t="str">
        <x:v>Westwood Studios</x:v>
      </x:c>
      <x:c r="G250" s="9" t="str">
        <x:v>Virgin Interactive</x:v>
      </x:c>
      <x:c r="H250" s="9" t="n">
        <x:v>1997</x:v>
      </x:c>
      <x:c r="I250" s="9" t="str">
        <x:v>Yes</x:v>
      </x:c>
      <x:c r="J250" s="9" t="str">
        <x:v>Yes</x:v>
      </x:c>
      <x:c r="K250" s="9" t="str">
        <x:v>Yes</x:v>
      </x:c>
      <x:c r="L250" s="9" t="str">
        <x:v>No</x:v>
      </x:c>
      <x:c r="M250" s="9" t="str">
        <x:v>Real-time strategy</x:v>
      </x:c>
      <x:c r="N250" s="9" t="str">
        <x:v>Live-action + pre-rendered CG</x:v>
      </x:c>
      <x:c r="O250" s="9" t="n">
        <x:v>3</x:v>
      </x:c>
      <x:c r="P250" s="9" t="str">
        <x:v>Cutscenes only</x:v>
      </x:c>
      <x:c r="Q250" s="9" t="str">
        <x:v>Released</x:v>
      </x:c>
      <x:c r="R250" s="9" t="str">
        <x:v>PC original (1996)</x:v>
      </x:c>
      <x:c r="S250" s="9" t="str">
        <x:v>PC</x:v>
      </x:c>
      <x:c r="T250" s="9" t="str">
        <x:v>Joseph D. Kucan (Kane cameo); Stalin, Nadia, Tanya actors (verify names)</x:v>
      </x:c>
      <x:c r="U250" s="9" t="n">
        <x:v>2</x:v>
      </x:c>
      <x:c r="V250" s="9" t="str">
        <x:v>Yes</x:v>
      </x:c>
      <x:c r="W250" s="9" t="str">
        <x:v>PlayStation Mouse; Link Cable; memory card</x:v>
      </x:c>
      <x:c r="X250" s="9" t="str">
        <x:v>Low</x:v>
      </x:c>
      <x:c r="Y250" s="9" t="str"/>
      <x:c r="Z250" s="9" t="str">
        <x:v>20–30 hr</x:v>
      </x:c>
      <x:c r="AA250" s="9" t="str">
        <x:v>Stalin, Einstein and a chrome-plated Cold War told through gloriously hammy live-action briefings.</x:v>
      </x:c>
      <x:c r="AB250" s="9" t="str">
        <x:v>None known</x:v>
      </x:c>
      <x:c r="AC250" s="9" t="str">
        <x:v>Live-action briefings in a framed window, low-res and grainy (verify)</x:v>
      </x:c>
      <x:c r="AD250" s="9" t="str">
        <x:v>Medium–hard; Soviet missions harsher</x:v>
      </x:c>
      <x:c r="AE250" s="9" t="str">
        <x:v>Allied and Soviet endings (Soviet ending links to Kane)</x:v>
      </x:c>
      <x:c r="AF250" s="9" t="str">
        <x:v>The Soviet ending reveals Nadia's aide Kane was steering events, tying Red Alert to the Tiberium timeline.</x:v>
      </x:c>
      <x:c r="AG250" s="9" t="str">
        <x:v>2-disc set (Allies and Soviet); Greatest Hits (verify)</x:v>
      </x:c>
      <x:c r="AH250" s="9" t="str">
        <x:v>Yes (C&amp;C Remastered Collection, PC)</x:v>
      </x:c>
      <x:c r="AI250" s="9" t="str">
        <x:v>Easy</x:v>
      </x:c>
      <x:c r="AJ250" s="9"/>
      <x:c r="AK250" s="9" t="str"/>
      <x:c r="AL250" s="10" t="n">
        <x:v>22.49</x:v>
      </x:c>
      <x:c r="AM250" s="10" t="n">
        <x:v>30.82</x:v>
      </x:c>
      <x:c r="AN250" s="10" t="n">
        <x:v>124.56</x:v>
      </x:c>
      <x:c r="AO250" s="9" t="str">
        <x:v>2026-10-21</x:v>
      </x:c>
      <x:c r="AP250" s="11" t="str">
        <x:f>HYPERLINK("https://www.pricecharting.com/game/playstation/command-and-conquer-red-alert","PriceCharting")</x:f>
        <x:v>PriceCharting</x:v>
      </x:c>
      <x:c r="AQ250" s="9"/>
      <x:c r="AR250" s="9"/>
      <x:c r="AS250" s="9"/>
      <x:c r="AT250" s="9"/>
      <x:c r="AU250" s="9"/>
      <x:c r="AV250" s="9"/>
      <x:c r="AW250" s="9"/>
      <x:c r="AX250" s="9"/>
      <x:c r="AY250" s="9"/>
      <x:c r="AZ250" s="9"/>
      <x:c r="BA250" s="11" t="str">
        <x:f>HYPERLINK("https://www.mobygames.com/search/?q=Command+%26+Conquer%3A+Red+Alert","MobyGames")</x:f>
        <x:v>MobyGames</x:v>
      </x:c>
      <x:c r="BB250" s="9" t="str">
        <x:v>81%</x:v>
      </x:c>
      <x:c r="BC250" s="9" t="str">
        <x:v>GameRankings, 5 reviews</x:v>
      </x:c>
      <x:c r="BD250" s="9" t="str">
        <x:f>HYPERLINK("https://web.archive.org/web/20191209011342id_/https://www.gamerankings.com/ps/196966-command-and-conquer-red-alert/","Source")</x:f>
        <x:v>Source</x:v>
      </x:c>
      <x:c r="BE250" s="11" t="str">
        <x:f>HYPERLINK("https://en.wikipedia.org/wiki/Command_%26_Conquer:_Red_Alert","Wikipedia")</x:f>
        <x:v>Wikipedia</x:v>
      </x:c>
      <x:c r="BF250" s="11" t="str">
        <x:f>HYPERLINK("https://backloggd.com/search/games/Command%20%26%20Conquer%3A%20Red%20Alert/","Backloggd")</x:f>
        <x:v>Backloggd</x:v>
      </x:c>
      <x:c r="BG250" s="9"/>
      <x:c r="BH250" s="9"/>
      <x:c r="BI250" s="12" t="str">
        <x:v>No</x:v>
      </x:c>
      <x:c r="BJ250" s="12" t="str"/>
      <x:c r="BK250" s="12" t="str">
        <x:v>No</x:v>
      </x:c>
      <x:c r="BL250" s="12" t="str"/>
      <x:c r="BM250" s="12" t="str"/>
      <x:c r="BN250" s="12" t="str"/>
      <x:c r="BO250" s="12" t="str"/>
      <x:c r="BP250" s="12" t="str"/>
      <x:c r="BQ250" s="12" t="str"/>
    </x:row>
    <x:row r="251">
      <x:c r="A251" s="9" t="str">
        <x:v>ps1-38</x:v>
      </x:c>
      <x:c r="B251" s="9" t="str">
        <x:v>command-and-conquer-red-alert-retaliation</x:v>
      </x:c>
      <x:c r="C251" s="9" t="str">
        <x:v>PlayStation</x:v>
      </x:c>
      <x:c r="D251" s="9" t="str">
        <x:v>Command &amp; Conquer: Red Alert – Retaliation</x:v>
      </x:c>
      <x:c r="E251" s="9" t="str"/>
      <x:c r="F251" s="9" t="str">
        <x:v>Westwood Studios</x:v>
      </x:c>
      <x:c r="G251" s="9" t="str">
        <x:v>Virgin Interactive</x:v>
      </x:c>
      <x:c r="H251" s="9" t="n">
        <x:v>1998</x:v>
      </x:c>
      <x:c r="I251" s="9" t="str">
        <x:v>Yes</x:v>
      </x:c>
      <x:c r="J251" s="9" t="str">
        <x:v>Yes</x:v>
      </x:c>
      <x:c r="K251" s="9" t="str">
        <x:v>Yes</x:v>
      </x:c>
      <x:c r="L251" s="9" t="str">
        <x:v>No</x:v>
      </x:c>
      <x:c r="M251" s="9" t="str">
        <x:v>Real-time strategy</x:v>
      </x:c>
      <x:c r="N251" s="9" t="str">
        <x:v>Live-action + pre-rendered CG</x:v>
      </x:c>
      <x:c r="O251" s="9" t="n">
        <x:v>3</x:v>
      </x:c>
      <x:c r="P251" s="9" t="str">
        <x:v>Cutscenes only</x:v>
      </x:c>
      <x:c r="Q251" s="9" t="str">
        <x:v>Released</x:v>
      </x:c>
      <x:c r="R251" s="9" t="str">
        <x:v>PS1 compilation of the PC expansions Counterstrike and Aftermath</x:v>
      </x:c>
      <x:c r="S251" s="9" t="str">
        <x:v>None as a compilation (missions on PC)</x:v>
      </x:c>
      <x:c r="T251" s="9" t="str">
        <x:v>Red Alert briefing cast (verify)</x:v>
      </x:c>
      <x:c r="U251" s="9" t="n">
        <x:v>2</x:v>
      </x:c>
      <x:c r="V251" s="9" t="str">
        <x:v>Yes</x:v>
      </x:c>
      <x:c r="W251" s="9" t="str">
        <x:v>PlayStation Mouse; Link Cable; memory card</x:v>
      </x:c>
      <x:c r="X251" s="9" t="str">
        <x:v>Low</x:v>
      </x:c>
      <x:c r="Y251" s="9" t="str"/>
      <x:c r="Z251" s="9" t="str">
        <x:v>15–25 hr</x:v>
      </x:c>
      <x:c r="AA251" s="9" t="str">
        <x:v>The expansion missions got their own live-action briefings on PlayStation, footage PC players never saw in the same form.</x:v>
      </x:c>
      <x:c r="AB251" s="9" t="str">
        <x:v>None known</x:v>
      </x:c>
      <x:c r="AC251" s="9" t="str">
        <x:v>Same framed live-action briefings as Red Alert (verify)</x:v>
      </x:c>
      <x:c r="AD251" s="9" t="str">
        <x:v>Hard; built for players who finished Red Alert</x:v>
      </x:c>
      <x:c r="AE251" s="9" t="str">
        <x:v>Allied and Soviet mission sets</x:v>
      </x:c>
      <x:c r="AF251" s="9" t="str">
        <x:v>Retaliation added new FMV briefings for missions that on PC had only text briefings (verify).</x:v>
      </x:c>
      <x:c r="AG251" s="9" t="str">
        <x:v>2 discs (Allies and Soviet)</x:v>
      </x:c>
      <x:c r="AH251" s="9" t="str">
        <x:v>Partial (the C&amp;C Remastered Collection on Steam and EA App includes the Retaliation missions and video; the PS1 disc is not re-released)</x:v>
      </x:c>
      <x:c r="AI251" s="9" t="str">
        <x:v>Easy</x:v>
      </x:c>
      <x:c r="AJ251" s="9"/>
      <x:c r="AK251" s="9" t="str">
        <x:v>Confirm which briefings are new footage.</x:v>
      </x:c>
      <x:c r="AL251" s="10" t="n">
        <x:v>19.4</x:v>
      </x:c>
      <x:c r="AM251" s="10" t="n">
        <x:v>25</x:v>
      </x:c>
      <x:c r="AN251" s="10" t="n">
        <x:v>129.99</x:v>
      </x:c>
      <x:c r="AO251" s="9" t="str">
        <x:v>2026-10-21</x:v>
      </x:c>
      <x:c r="AP251" s="11" t="str">
        <x:f>HYPERLINK("https://www.pricecharting.com/game/playstation/command-and-conquer-red-alert-retaliation","PriceCharting")</x:f>
        <x:v>PriceCharting</x:v>
      </x:c>
      <x:c r="AQ251" s="9"/>
      <x:c r="AR251" s="9"/>
      <x:c r="AS251" s="9"/>
      <x:c r="AT251" s="9"/>
      <x:c r="AU251" s="9"/>
      <x:c r="AV251" s="9"/>
      <x:c r="AW251" s="9"/>
      <x:c r="AX251" s="9"/>
      <x:c r="AY251" s="9"/>
      <x:c r="AZ251" s="9"/>
      <x:c r="BA251" s="11" t="str">
        <x:f>HYPERLINK("https://www.mobygames.com/search/?q=Command+%26+Conquer%3A+Red+Alert+%E2%80%93+Retaliation","MobyGames")</x:f>
        <x:v>MobyGames</x:v>
      </x:c>
      <x:c r="BB251" s="9" t="str">
        <x:v>75%</x:v>
      </x:c>
      <x:c r="BC251" s="9" t="str">
        <x:v>GameRankings, 7 reviews</x:v>
      </x:c>
      <x:c r="BD251" s="9" t="str">
        <x:f>HYPERLINK("https://web.archive.org/web/20191209011400id_/https://www.gamerankings.com/ps/196967-command-and-conquer-red-alert-retaliation/","Source")</x:f>
        <x:v>Source</x:v>
      </x:c>
      <x:c r="BE251" s="11" t="str">
        <x:f>HYPERLINK("https://en.wikipedia.org/wiki/Command_%26_Conquer:_Red_Alert_Retaliation","Wikipedia")</x:f>
        <x:v>Wikipedia</x:v>
      </x:c>
      <x:c r="BF251" s="11" t="str">
        <x:f>HYPERLINK("https://backloggd.com/search/games/Command%20%26%20Conquer%3A%20Red%20Alert%20%E2%80%93%20Retaliation/","Backloggd")</x:f>
        <x:v>Backloggd</x:v>
      </x:c>
      <x:c r="BG251" s="9"/>
      <x:c r="BH251" s="9"/>
      <x:c r="BI251" s="12" t="str">
        <x:v>No</x:v>
      </x:c>
      <x:c r="BJ251" s="12" t="str"/>
      <x:c r="BK251" s="12" t="str">
        <x:v>No</x:v>
      </x:c>
      <x:c r="BL251" s="12" t="str"/>
      <x:c r="BM251" s="12" t="str"/>
      <x:c r="BN251" s="12" t="str"/>
      <x:c r="BO251" s="12" t="str"/>
      <x:c r="BP251" s="12" t="str"/>
      <x:c r="BQ251" s="12" t="str"/>
    </x:row>
    <x:row r="252">
      <x:c r="A252" s="9" t="str">
        <x:v>ps1-39</x:v>
      </x:c>
      <x:c r="B252" s="9" t="str">
        <x:v>dune-2000</x:v>
      </x:c>
      <x:c r="C252" s="9" t="str">
        <x:v>PlayStation</x:v>
      </x:c>
      <x:c r="D252" s="9" t="str">
        <x:v>Dune 2000</x:v>
      </x:c>
      <x:c r="E252" s="9" t="str"/>
      <x:c r="F252" s="9" t="str">
        <x:v>Intelligent Games / Westwood Studios</x:v>
      </x:c>
      <x:c r="G252" s="9" t="str">
        <x:v>Westwood Studios / Electronic Arts</x:v>
      </x:c>
      <x:c r="H252" s="9" t="n">
        <x:v>1999</x:v>
      </x:c>
      <x:c r="I252" s="9" t="str">
        <x:v>Yes</x:v>
      </x:c>
      <x:c r="J252" s="9" t="str">
        <x:v>No</x:v>
      </x:c>
      <x:c r="K252" s="9" t="str">
        <x:v>Yes</x:v>
      </x:c>
      <x:c r="L252" s="9" t="str">
        <x:v>No</x:v>
      </x:c>
      <x:c r="M252" s="9" t="str">
        <x:v>Real-time strategy</x:v>
      </x:c>
      <x:c r="N252" s="9" t="str">
        <x:v>Live-action</x:v>
      </x:c>
      <x:c r="O252" s="9" t="n">
        <x:v>3</x:v>
      </x:c>
      <x:c r="P252" s="9" t="str">
        <x:v>Cutscenes only</x:v>
      </x:c>
      <x:c r="Q252" s="9" t="str">
        <x:v>Released</x:v>
      </x:c>
      <x:c r="R252" s="9" t="str">
        <x:v>PC original (1998), remake of Dune II</x:v>
      </x:c>
      <x:c r="S252" s="9" t="str">
        <x:v>PC</x:v>
      </x:c>
      <x:c r="T252" s="9" t="str">
        <x:v>John Rhys-Davies (Noree Moneo), Musetta Vander (verify others)</x:v>
      </x:c>
      <x:c r="U252" s="9" t="n">
        <x:v>1</x:v>
      </x:c>
      <x:c r="V252" s="9" t="str">
        <x:v>Yes</x:v>
      </x:c>
      <x:c r="W252" s="9" t="str">
        <x:v>PlayStation Mouse; memory card</x:v>
      </x:c>
      <x:c r="X252" s="9" t="str">
        <x:v>Low</x:v>
      </x:c>
      <x:c r="Y252" s="9" t="str"/>
      <x:c r="Z252" s="9" t="str">
        <x:v>15–20 hr</x:v>
      </x:c>
      <x:c r="AA252" s="9" t="str">
        <x:v>John Rhys-Davies in full Atreides mentat mode, briefing you in front of 1998 blue-screen palaces.</x:v>
      </x:c>
      <x:c r="AB252" s="9" t="str">
        <x:v>None known</x:v>
      </x:c>
      <x:c r="AC252" s="9" t="str">
        <x:v>Live-action briefings, framed window (verify)</x:v>
      </x:c>
      <x:c r="AD252" s="9" t="str">
        <x:v>Medium</x:v>
      </x:c>
      <x:c r="AE252" s="9" t="str">
        <x:v>Atreides, Harkonnen and Ordos campaigns</x:v>
      </x:c>
      <x:c r="AF252" s="9" t="str">
        <x:v>The live-action cast mixed film actors like Rhys-Davies with Westwood's in-house video production.</x:v>
      </x:c>
      <x:c r="AG252" s="9" t="str"/>
      <x:c r="AH252" s="9" t="str">
        <x:v>No (PC fan patches only)</x:v>
      </x:c>
      <x:c r="AI252" s="9" t="str">
        <x:v>Easy</x:v>
      </x:c>
      <x:c r="AJ252" s="9"/>
      <x:c r="AK252" s="9" t="str">
        <x:v>PS1 release year 1999 confirmed (Wikipedia: EU 16 Nov, NA 23 Nov 1999); disc count verify.</x:v>
      </x:c>
      <x:c r="AL252" s="10" t="n">
        <x:v>15.13</x:v>
      </x:c>
      <x:c r="AM252" s="10" t="n">
        <x:v>23.72</x:v>
      </x:c>
      <x:c r="AN252" s="10" t="n">
        <x:v>86.51</x:v>
      </x:c>
      <x:c r="AO252" s="9" t="str">
        <x:v>2026-10-21</x:v>
      </x:c>
      <x:c r="AP252" s="11" t="str">
        <x:f>HYPERLINK("https://www.pricecharting.com/game/playstation/dune-2000","PriceCharting")</x:f>
        <x:v>PriceCharting</x:v>
      </x:c>
      <x:c r="AQ252" s="9"/>
      <x:c r="AR252" s="9"/>
      <x:c r="AS252" s="9"/>
      <x:c r="AT252" s="9"/>
      <x:c r="AU252" s="9"/>
      <x:c r="AV252" s="9"/>
      <x:c r="AW252" s="9"/>
      <x:c r="AX252" s="9"/>
      <x:c r="AY252" s="9" t="str">
        <x:v>63%</x:v>
      </x:c>
      <x:c r="AZ252" s="9" t="str">
        <x:v>2.9</x:v>
      </x:c>
      <x:c r="BA252" s="11" t="str">
        <x:f>HYPERLINK("https://www.mobygames.com/search/?q=Dune+2000","MobyGames")</x:f>
        <x:v>MobyGames</x:v>
      </x:c>
      <x:c r="BB252" s="9" t="str">
        <x:v>61%</x:v>
      </x:c>
      <x:c r="BC252" s="9" t="str">
        <x:v>GameRankings, 11 reviews</x:v>
      </x:c>
      <x:c r="BD252" s="9" t="str">
        <x:f>HYPERLINK("https://web.archive.org/web/20191209015537id_/https://www.gamerankings.com/ps/197182-dune-2000/","Source")</x:f>
        <x:v>Source</x:v>
      </x:c>
      <x:c r="BE252" s="11" t="str">
        <x:f>HYPERLINK("https://en.wikipedia.org/wiki/Dune_2000","Wikipedia")</x:f>
        <x:v>Wikipedia</x:v>
      </x:c>
      <x:c r="BF252" s="11" t="str">
        <x:f>HYPERLINK("https://backloggd.com/search/games/Dune%202000/","Backloggd")</x:f>
        <x:v>Backloggd</x:v>
      </x:c>
      <x:c r="BG252" s="9"/>
      <x:c r="BH252" s="9"/>
      <x:c r="BI252" s="12" t="str">
        <x:v>No</x:v>
      </x:c>
      <x:c r="BJ252" s="12" t="str"/>
      <x:c r="BK252" s="12" t="str">
        <x:v>No</x:v>
      </x:c>
      <x:c r="BL252" s="12" t="str"/>
      <x:c r="BM252" s="12" t="str"/>
      <x:c r="BN252" s="12" t="str"/>
      <x:c r="BO252" s="12" t="str"/>
      <x:c r="BP252" s="12" t="str"/>
      <x:c r="BQ252" s="12" t="str"/>
    </x:row>
    <x:row r="253">
      <x:c r="A253" s="9" t="str">
        <x:v>ps1-40</x:v>
      </x:c>
      <x:c r="B253" s="9" t="str">
        <x:v>crusader-no-remorse</x:v>
      </x:c>
      <x:c r="C253" s="9" t="str">
        <x:v>PlayStation</x:v>
      </x:c>
      <x:c r="D253" s="9" t="str">
        <x:v>Crusader: No Remorse</x:v>
      </x:c>
      <x:c r="E253" s="9" t="str"/>
      <x:c r="F253" s="9" t="str">
        <x:v>Origin Systems (console versions by Realtime Associates)</x:v>
      </x:c>
      <x:c r="G253" s="9" t="str">
        <x:v>Electronic Arts</x:v>
      </x:c>
      <x:c r="H253" s="9" t="n">
        <x:v>1996</x:v>
      </x:c>
      <x:c r="I253" s="9" t="str">
        <x:v>Yes</x:v>
      </x:c>
      <x:c r="J253" s="9" t="str">
        <x:v>Yes</x:v>
      </x:c>
      <x:c r="K253" s="9" t="str">
        <x:v>Yes</x:v>
      </x:c>
      <x:c r="L253" s="9" t="str">
        <x:v>No</x:v>
      </x:c>
      <x:c r="M253" s="9" t="str">
        <x:v>Isometric action</x:v>
      </x:c>
      <x:c r="N253" s="9" t="str">
        <x:v>Live-action</x:v>
      </x:c>
      <x:c r="O253" s="9" t="n">
        <x:v>3</x:v>
      </x:c>
      <x:c r="P253" s="9" t="str">
        <x:v>Cutscenes only</x:v>
      </x:c>
      <x:c r="Q253" s="9" t="str">
        <x:v>Released</x:v>
      </x:c>
      <x:c r="R253" s="9" t="str">
        <x:v>PC original (1995)</x:v>
      </x:c>
      <x:c r="S253" s="9" t="str">
        <x:v>PC, Saturn</x:v>
      </x:c>
      <x:c r="T253" s="9" t="str">
        <x:v>Unknown — verify</x:v>
      </x:c>
      <x:c r="U253" s="9" t="n">
        <x:v>1</x:v>
      </x:c>
      <x:c r="V253" s="9" t="str">
        <x:v>Yes</x:v>
      </x:c>
      <x:c r="W253" s="9" t="str">
        <x:v>Memory card</x:v>
      </x:c>
      <x:c r="X253" s="9" t="str">
        <x:v>Low</x:v>
      </x:c>
      <x:c r="Y253" s="9" t="str"/>
      <x:c r="Z253" s="9" t="str">
        <x:v>8–12 hr</x:v>
      </x:c>
      <x:c r="AA253" s="9" t="str">
        <x:v>A silent red-armored Silencer turns on the WEC, framed by Origin's moody live-action rebel-base cutscenes.</x:v>
      </x:c>
      <x:c r="AB253" s="9" t="str">
        <x:v>None known</x:v>
      </x:c>
      <x:c r="AC253" s="9" t="str">
        <x:v>Live-action cutscenes, small window, grainy (verify)</x:v>
      </x:c>
      <x:c r="AD253" s="9" t="str">
        <x:v>Hard</x:v>
      </x:c>
      <x:c r="AE253" s="9" t="str">
        <x:v>Single ending</x:v>
      </x:c>
      <x:c r="AF253" s="9" t="str">
        <x:v>Origin shot the rebel and WEC scenes with actors on sets, part of its mid-90s live-action push alongside Wing Commander III.</x:v>
      </x:c>
      <x:c r="AG253" s="9" t="str"/>
      <x:c r="AH253" s="9" t="str">
        <x:v>Yes (PC on GOG; console version not re-released)</x:v>
      </x:c>
      <x:c r="AI253" s="9" t="str">
        <x:v>Easy</x:v>
      </x:c>
      <x:c r="AJ253" s="9"/>
      <x:c r="AK253" s="9" t="str">
        <x:v>JP release flagged from memory (verify).</x:v>
      </x:c>
      <x:c r="AL253" s="10" t="n">
        <x:v>11.89</x:v>
      </x:c>
      <x:c r="AM253" s="10" t="n">
        <x:v>24.2</x:v>
      </x:c>
      <x:c r="AN253" s="10" t="n">
        <x:v>67.94</x:v>
      </x:c>
      <x:c r="AO253" s="9" t="str">
        <x:v>2026-10-21</x:v>
      </x:c>
      <x:c r="AP253" s="11" t="str">
        <x:f>HYPERLINK("https://www.pricecharting.com/game/playstation/crusader-no-remorse","PriceCharting")</x:f>
        <x:v>PriceCharting</x:v>
      </x:c>
      <x:c r="AQ253" s="9"/>
      <x:c r="AR253" s="9"/>
      <x:c r="AS253" s="9"/>
      <x:c r="AT253" s="9"/>
      <x:c r="AU253" s="9"/>
      <x:c r="AV253" s="9"/>
      <x:c r="AW253" s="9"/>
      <x:c r="AX253" s="9"/>
      <x:c r="AY253" s="9"/>
      <x:c r="AZ253" s="9"/>
      <x:c r="BA253" s="11" t="str">
        <x:f>HYPERLINK("https://www.mobygames.com/search/?q=Crusader%3A+No+Remorse","MobyGames")</x:f>
        <x:v>MobyGames</x:v>
      </x:c>
      <x:c r="BB253" s="9" t="str">
        <x:v>73%</x:v>
      </x:c>
      <x:c r="BC253" s="9" t="str">
        <x:v>GameRankings, 5 reviews</x:v>
      </x:c>
      <x:c r="BD253" s="9" t="str">
        <x:f>HYPERLINK("https://web.archive.org/web/20191209015450id_/https://www.gamerankings.com/ps/197007-crusader-no-remorse/","Source")</x:f>
        <x:v>Source</x:v>
      </x:c>
      <x:c r="BE253" s="11" t="str">
        <x:f>HYPERLINK("https://en.wikipedia.org/wiki/Crusader:_No_Remorse","Wikipedia")</x:f>
        <x:v>Wikipedia</x:v>
      </x:c>
      <x:c r="BF253" s="11" t="str">
        <x:f>HYPERLINK("https://backloggd.com/search/games/Crusader%3A%20No%20Remorse/","Backloggd")</x:f>
        <x:v>Backloggd</x:v>
      </x:c>
      <x:c r="BG253" s="9"/>
      <x:c r="BH253" s="9"/>
      <x:c r="BI253" s="12" t="str">
        <x:v>No</x:v>
      </x:c>
      <x:c r="BJ253" s="12" t="str"/>
      <x:c r="BK253" s="12" t="str">
        <x:v>No</x:v>
      </x:c>
      <x:c r="BL253" s="12" t="str"/>
      <x:c r="BM253" s="12" t="str"/>
      <x:c r="BN253" s="12" t="str"/>
      <x:c r="BO253" s="12" t="str"/>
      <x:c r="BP253" s="12" t="str"/>
      <x:c r="BQ253" s="12" t="str"/>
    </x:row>
    <x:row r="254">
      <x:c r="A254" s="9" t="str">
        <x:v>ps1-41</x:v>
      </x:c>
      <x:c r="B254" s="9" t="str">
        <x:v>mortal-kombat-mythologies-sub-zero</x:v>
      </x:c>
      <x:c r="C254" s="9" t="str">
        <x:v>PlayStation</x:v>
      </x:c>
      <x:c r="D254" s="9" t="str">
        <x:v>Mortal Kombat Mythologies: Sub-Zero</x:v>
      </x:c>
      <x:c r="E254" s="9" t="str"/>
      <x:c r="F254" s="9" t="str">
        <x:v>Midway</x:v>
      </x:c>
      <x:c r="G254" s="9" t="str">
        <x:v>Midway (NA), GT Interactive (EU)</x:v>
      </x:c>
      <x:c r="H254" s="9" t="n">
        <x:v>1997</x:v>
      </x:c>
      <x:c r="I254" s="9" t="str">
        <x:v>Yes</x:v>
      </x:c>
      <x:c r="J254" s="9" t="str">
        <x:v>No</x:v>
      </x:c>
      <x:c r="K254" s="9" t="str">
        <x:v>Yes</x:v>
      </x:c>
      <x:c r="L254" s="9" t="str">
        <x:v>No</x:v>
      </x:c>
      <x:c r="M254" s="9" t="str">
        <x:v>Action platformer</x:v>
      </x:c>
      <x:c r="N254" s="9" t="str">
        <x:v>Live-action</x:v>
      </x:c>
      <x:c r="O254" s="9" t="n">
        <x:v>3</x:v>
      </x:c>
      <x:c r="P254" s="9" t="str">
        <x:v>Cutscenes only</x:v>
      </x:c>
      <x:c r="Q254" s="9" t="str">
        <x:v>Released</x:v>
      </x:c>
      <x:c r="R254" s="9" t="str">
        <x:v>Original production (Mortal Kombat spin-off)</x:v>
      </x:c>
      <x:c r="S254" s="9" t="str">
        <x:v>N64 (FMV replaced by stills)</x:v>
      </x:c>
      <x:c r="T254" s="9" t="str">
        <x:v>Midway's digitized MK actors (verify names)</x:v>
      </x:c>
      <x:c r="U254" s="9" t="n">
        <x:v>1</x:v>
      </x:c>
      <x:c r="V254" s="9" t="str">
        <x:v>No (passwords)</x:v>
      </x:c>
      <x:c r="W254" s="9" t="str">
        <x:v>None</x:v>
      </x:c>
      <x:c r="X254" s="9" t="str">
        <x:v>Low</x:v>
      </x:c>
      <x:c r="Y254" s="9" t="str"/>
      <x:c r="Z254" s="9" t="str">
        <x:v>3–5 hr</x:v>
      </x:c>
      <x:c r="AA254" s="9" t="str">
        <x:v>Sub-Zero's origin told in cheesy live-action costume drama between some of the stiffest platforming of the era.</x:v>
      </x:c>
      <x:c r="AB254" s="9" t="str">
        <x:v>Stage passwords exist (verify)</x:v>
      </x:c>
      <x:c r="AC254" s="9" t="str">
        <x:v>Full-screen-ish live-action, low res (verify)</x:v>
      </x:c>
      <x:c r="AD254" s="9" t="str">
        <x:v>Very hard; unforgiving controls</x:v>
      </x:c>
      <x:c r="AE254" s="9" t="str">
        <x:v>Single ending</x:v>
      </x:c>
      <x:c r="AF254" s="9" t="str">
        <x:v>The PS1 version keeps the live-action cutscenes; the N64 cartridge cut them to still images.</x:v>
      </x:c>
      <x:c r="AG254" s="9" t="str">
        <x:v>Greatest Hits (verify)</x:v>
      </x:c>
      <x:c r="AH254" s="9" t="str">
        <x:v>Yes (Mortal Kombat Legacy Kollection, 2025: PS5, PS4, Xbox, Switch, Switch 2, Steam)</x:v>
      </x:c>
      <x:c r="AI254" s="9" t="str">
        <x:v>Easy</x:v>
      </x:c>
      <x:c r="AJ254" s="9"/>
      <x:c r="AK254" s="9" t="str"/>
      <x:c r="AL254" s="10" t="n">
        <x:v>19.04</x:v>
      </x:c>
      <x:c r="AM254" s="10" t="n">
        <x:v>32.7</x:v>
      </x:c>
      <x:c r="AN254" s="10" t="n">
        <x:v>412.5</x:v>
      </x:c>
      <x:c r="AO254" s="9" t="str">
        <x:v>2026-10-21</x:v>
      </x:c>
      <x:c r="AP254" s="11" t="str">
        <x:f>HYPERLINK("https://www.pricecharting.com/game/playstation/mortal-kombat-mythologies-sub-zero","PriceCharting")</x:f>
        <x:v>PriceCharting</x:v>
      </x:c>
      <x:c r="AQ254" s="9"/>
      <x:c r="AR254" s="9"/>
      <x:c r="AS254" s="9"/>
      <x:c r="AT254" s="9"/>
      <x:c r="AU254" s="9"/>
      <x:c r="AV254" s="9"/>
      <x:c r="AW254" s="9"/>
      <x:c r="AX254" s="9"/>
      <x:c r="AY254" s="9" t="str">
        <x:v>58%</x:v>
      </x:c>
      <x:c r="AZ254" s="9"/>
      <x:c r="BA254" s="11" t="str">
        <x:f>HYPERLINK("https://www.mobygames.com/search/?q=Mortal+Kombat+Mythologies%3A+Sub-Zero","MobyGames")</x:f>
        <x:v>MobyGames</x:v>
      </x:c>
      <x:c r="BB254" s="9" t="str">
        <x:v>53%</x:v>
      </x:c>
      <x:c r="BC254" s="9" t="str">
        <x:v>GameRankings, 5 reviews</x:v>
      </x:c>
      <x:c r="BD254" s="9" t="str">
        <x:f>HYPERLINK("https://web.archive.org/web/20191209015056id_/https://www.gamerankings.com/ps/197993-mortal-kombat-mythologies-sub-zero/","Source")</x:f>
        <x:v>Source</x:v>
      </x:c>
      <x:c r="BE254" s="11" t="str">
        <x:f>HYPERLINK("https://en.wikipedia.org/wiki/Mortal_Kombat_Mythologies:_Sub-Zero","Wikipedia")</x:f>
        <x:v>Wikipedia</x:v>
      </x:c>
      <x:c r="BF254" s="11" t="str">
        <x:f>HYPERLINK("https://backloggd.com/search/games/Mortal%20Kombat%20Mythologies%3A%20Sub-Zero/","Backloggd")</x:f>
        <x:v>Backloggd</x:v>
      </x:c>
      <x:c r="BG254" s="9"/>
      <x:c r="BH254" s="9"/>
      <x:c r="BI254" s="12" t="str">
        <x:v>No</x:v>
      </x:c>
      <x:c r="BJ254" s="12" t="str"/>
      <x:c r="BK254" s="12" t="str">
        <x:v>No</x:v>
      </x:c>
      <x:c r="BL254" s="12" t="str"/>
      <x:c r="BM254" s="12" t="str"/>
      <x:c r="BN254" s="12" t="str"/>
      <x:c r="BO254" s="12" t="str"/>
      <x:c r="BP254" s="12" t="str"/>
      <x:c r="BQ254" s="12" t="str"/>
    </x:row>
    <x:row r="255">
      <x:c r="A255" s="9" t="str">
        <x:v>ps1-42</x:v>
      </x:c>
      <x:c r="B255" s="9" t="str">
        <x:v>soviet-strike</x:v>
      </x:c>
      <x:c r="C255" s="9" t="str">
        <x:v>PlayStation</x:v>
      </x:c>
      <x:c r="D255" s="9" t="str">
        <x:v>Soviet Strike</x:v>
      </x:c>
      <x:c r="E255" s="9" t="str"/>
      <x:c r="F255" s="9" t="str">
        <x:v>Electronic Arts</x:v>
      </x:c>
      <x:c r="G255" s="9" t="str">
        <x:v>Electronic Arts</x:v>
      </x:c>
      <x:c r="H255" s="9" t="n">
        <x:v>1996</x:v>
      </x:c>
      <x:c r="I255" s="9" t="str">
        <x:v>Yes</x:v>
      </x:c>
      <x:c r="J255" s="9" t="str">
        <x:v>Yes</x:v>
      </x:c>
      <x:c r="K255" s="9" t="str">
        <x:v>Yes</x:v>
      </x:c>
      <x:c r="L255" s="9" t="str">
        <x:v>No</x:v>
      </x:c>
      <x:c r="M255" s="9" t="str">
        <x:v>Helicopter action</x:v>
      </x:c>
      <x:c r="N255" s="9" t="str">
        <x:v>Live-action</x:v>
      </x:c>
      <x:c r="O255" s="9" t="n">
        <x:v>3</x:v>
      </x:c>
      <x:c r="P255" s="9" t="str">
        <x:v>Cutscenes only</x:v>
      </x:c>
      <x:c r="Q255" s="9" t="str">
        <x:v>Released</x:v>
      </x:c>
      <x:c r="R255" s="9" t="str">
        <x:v>Original production (Strike series)</x:v>
      </x:c>
      <x:c r="S255" s="9" t="str">
        <x:v>Saturn</x:v>
      </x:c>
      <x:c r="T255" s="9" t="str">
        <x:v>Unknown — verify</x:v>
      </x:c>
      <x:c r="U255" s="9" t="n">
        <x:v>1</x:v>
      </x:c>
      <x:c r="V255" s="9" t="str">
        <x:v>Yes (memory card, 1 block)</x:v>
      </x:c>
      <x:c r="W255" s="9" t="str">
        <x:v>Memory card</x:v>
      </x:c>
      <x:c r="X255" s="9" t="str">
        <x:v>Low</x:v>
      </x:c>
      <x:c r="Y255" s="9" t="str"/>
      <x:c r="Z255" s="9" t="str">
        <x:v>8–12 hr</x:v>
      </x:c>
      <x:c r="AA255" s="9" t="str">
        <x:v>Live-action STRIKE command briefings with a CNN-style news framing, ahead of a post-Soviet chopper war.</x:v>
      </x:c>
      <x:c r="AB255" s="9" t="str">
        <x:v>None known</x:v>
      </x:c>
      <x:c r="AC255" s="9" t="str">
        <x:v>Live-action briefings and news segments (verify)</x:v>
      </x:c>
      <x:c r="AD255" s="9" t="str">
        <x:v>Hard</x:v>
      </x:c>
      <x:c r="AE255" s="9" t="str">
        <x:v>Single ending</x:v>
      </x:c>
      <x:c r="AF255" s="9" t="str">
        <x:v>The series' first 32-bit entry used filmed briefings for each campaign.</x:v>
      </x:c>
      <x:c r="AG255" s="9" t="str">
        <x:v>Greatest Hits (verify)</x:v>
      </x:c>
      <x:c r="AH255" s="9" t="str">
        <x:v>No</x:v>
      </x:c>
      <x:c r="AI255" s="9" t="str">
        <x:v>Easy</x:v>
      </x:c>
      <x:c r="AJ255" s="9"/>
      <x:c r="AK255" s="9" t="str">
        <x:v>JP release flagged from memory (verify).</x:v>
      </x:c>
      <x:c r="AL255" s="10" t="n">
        <x:v>6.01</x:v>
      </x:c>
      <x:c r="AM255" s="10" t="n">
        <x:v>10.19</x:v>
      </x:c>
      <x:c r="AN255" s="10" t="n">
        <x:v>36.37</x:v>
      </x:c>
      <x:c r="AO255" s="9" t="str">
        <x:v>2026-10-21</x:v>
      </x:c>
      <x:c r="AP255" s="11" t="str">
        <x:f>HYPERLINK("https://www.pricecharting.com/game/playstation/soviet-strike","PriceCharting")</x:f>
        <x:v>PriceCharting</x:v>
      </x:c>
      <x:c r="AQ255" s="9"/>
      <x:c r="AR255" s="9"/>
      <x:c r="AS255" s="9"/>
      <x:c r="AT255" s="9"/>
      <x:c r="AU255" s="9"/>
      <x:c r="AV255" s="9"/>
      <x:c r="AW255" s="9"/>
      <x:c r="AX255" s="9"/>
      <x:c r="AY255" s="9" t="str">
        <x:v>77%</x:v>
      </x:c>
      <x:c r="AZ255" s="9"/>
      <x:c r="BA255" s="11" t="str">
        <x:f>HYPERLINK("https://www.mobygames.com/search/?q=Soviet+Strike","MobyGames")</x:f>
        <x:v>MobyGames</x:v>
      </x:c>
      <x:c r="BB255" s="9" t="str">
        <x:v>76%</x:v>
      </x:c>
      <x:c r="BC255" s="9" t="str">
        <x:v>GameRankings, 5 reviews</x:v>
      </x:c>
      <x:c r="BD255" s="9" t="str">
        <x:f>HYPERLINK("https://web.archive.org/web/20191209014625id_/https://www.gamerankings.com/ps/198719-soviet-strike/","Source")</x:f>
        <x:v>Source</x:v>
      </x:c>
      <x:c r="BE255" s="11" t="str">
        <x:f>HYPERLINK("https://en.wikipedia.org/wiki/Soviet_Strike","Wikipedia")</x:f>
        <x:v>Wikipedia</x:v>
      </x:c>
      <x:c r="BF255" s="11" t="str">
        <x:f>HYPERLINK("https://backloggd.com/search/games/Soviet%20Strike/","Backloggd")</x:f>
        <x:v>Backloggd</x:v>
      </x:c>
      <x:c r="BG255" s="9"/>
      <x:c r="BH255" s="9"/>
      <x:c r="BI255" s="12" t="str">
        <x:v>No</x:v>
      </x:c>
      <x:c r="BJ255" s="12" t="str"/>
      <x:c r="BK255" s="12" t="str">
        <x:v>No</x:v>
      </x:c>
      <x:c r="BL255" s="12" t="str"/>
      <x:c r="BM255" s="12" t="str"/>
      <x:c r="BN255" s="12" t="str"/>
      <x:c r="BO255" s="12" t="str"/>
      <x:c r="BP255" s="12" t="str"/>
      <x:c r="BQ255" s="12" t="str"/>
    </x:row>
    <x:row r="256">
      <x:c r="A256" s="9" t="str">
        <x:v>ps1-43</x:v>
      </x:c>
      <x:c r="B256" s="9" t="str">
        <x:v>nuclear-strike</x:v>
      </x:c>
      <x:c r="C256" s="9" t="str">
        <x:v>PlayStation</x:v>
      </x:c>
      <x:c r="D256" s="9" t="str">
        <x:v>Nuclear Strike</x:v>
      </x:c>
      <x:c r="E256" s="9" t="str"/>
      <x:c r="F256" s="9" t="str">
        <x:v>Electronic Arts</x:v>
      </x:c>
      <x:c r="G256" s="9" t="str">
        <x:v>Electronic Arts</x:v>
      </x:c>
      <x:c r="H256" s="9" t="n">
        <x:v>1997</x:v>
      </x:c>
      <x:c r="I256" s="9" t="str">
        <x:v>Yes</x:v>
      </x:c>
      <x:c r="J256" s="9" t="str">
        <x:v>Yes</x:v>
      </x:c>
      <x:c r="K256" s="9" t="str">
        <x:v>Yes</x:v>
      </x:c>
      <x:c r="L256" s="9" t="str">
        <x:v>No</x:v>
      </x:c>
      <x:c r="M256" s="9" t="str">
        <x:v>Helicopter action</x:v>
      </x:c>
      <x:c r="N256" s="9" t="str">
        <x:v>Live-action</x:v>
      </x:c>
      <x:c r="O256" s="9" t="n">
        <x:v>3</x:v>
      </x:c>
      <x:c r="P256" s="9" t="str">
        <x:v>Cutscenes only</x:v>
      </x:c>
      <x:c r="Q256" s="9" t="str">
        <x:v>Released</x:v>
      </x:c>
      <x:c r="R256" s="9" t="str">
        <x:v>Original production (Strike series)</x:v>
      </x:c>
      <x:c r="S256" s="9" t="str">
        <x:v>PC, N64 (FMV cut down)</x:v>
      </x:c>
      <x:c r="T256" s="9" t="str">
        <x:v>John Marzilli (General Earle), Antwon Tanner (Hack), Susan Turner-Cray (Andrea Gray), Bo Hopkins (Colonel LeMonde), Moon Bloodgood (Naja Hana), Philip Tan (Napoleon Hwong), Jamie Donovan (Harding Cash)</x:v>
      </x:c>
      <x:c r="U256" s="9" t="n">
        <x:v>1</x:v>
      </x:c>
      <x:c r="V256" s="9" t="str">
        <x:v>Yes (memory card, 1 block)</x:v>
      </x:c>
      <x:c r="W256" s="9" t="str">
        <x:v>Memory card</x:v>
      </x:c>
      <x:c r="X256" s="9" t="str">
        <x:v>Low</x:v>
      </x:c>
      <x:c r="Y256" s="9" t="str"/>
      <x:c r="Z256" s="9" t="str">
        <x:v>8–12 hr</x:v>
      </x:c>
      <x:c r="AA256" s="9" t="str">
        <x:v>More live-action STRIKE briefings as you chase a stolen nuke across Southeast Asia.</x:v>
      </x:c>
      <x:c r="AB256" s="9" t="str">
        <x:v>None known</x:v>
      </x:c>
      <x:c r="AC256" s="9" t="str">
        <x:v>Live-action briefings (verify)</x:v>
      </x:c>
      <x:c r="AD256" s="9" t="str">
        <x:v>Hard</x:v>
      </x:c>
      <x:c r="AE256" s="9" t="str">
        <x:v>Single ending</x:v>
      </x:c>
      <x:c r="AF256" s="9" t="str">
        <x:v>The PS1 original was later ported to N64 as Nuclear Strike 64.</x:v>
      </x:c>
      <x:c r="AG256" s="9" t="str">
        <x:v>Greatest Hits (verify)</x:v>
      </x:c>
      <x:c r="AH256" s="9" t="str">
        <x:v>No</x:v>
      </x:c>
      <x:c r="AI256" s="9" t="str">
        <x:v>Easy</x:v>
      </x:c>
      <x:c r="AJ256" s="9"/>
      <x:c r="AK256" s="9" t="str">
        <x:v>JP release flagged from memory (verify).</x:v>
      </x:c>
      <x:c r="AL256" s="10" t="n">
        <x:v>7.85</x:v>
      </x:c>
      <x:c r="AM256" s="10" t="n">
        <x:v>13.48</x:v>
      </x:c>
      <x:c r="AN256" s="10" t="n">
        <x:v>40</x:v>
      </x:c>
      <x:c r="AO256" s="9" t="str">
        <x:v>2026-10-21</x:v>
      </x:c>
      <x:c r="AP256" s="11" t="str">
        <x:f>HYPERLINK("https://www.pricecharting.com/game/playstation/nuclear-strike","PriceCharting")</x:f>
        <x:v>PriceCharting</x:v>
      </x:c>
      <x:c r="AQ256" s="9"/>
      <x:c r="AR256" s="9"/>
      <x:c r="AS256" s="9"/>
      <x:c r="AT256" s="9"/>
      <x:c r="AU256" s="9"/>
      <x:c r="AV256" s="9"/>
      <x:c r="AW256" s="9"/>
      <x:c r="AX256" s="9"/>
      <x:c r="AY256" s="9" t="str">
        <x:v>80%</x:v>
      </x:c>
      <x:c r="AZ256" s="9"/>
      <x:c r="BA256" s="11" t="str">
        <x:f>HYPERLINK("https://www.mobygames.com/search/?q=Nuclear+Strike","MobyGames")</x:f>
        <x:v>MobyGames</x:v>
      </x:c>
      <x:c r="BB256" s="9" t="str">
        <x:v>79%</x:v>
      </x:c>
      <x:c r="BC256" s="9" t="str">
        <x:v>GameRankings, 9 reviews</x:v>
      </x:c>
      <x:c r="BD256" s="9" t="str">
        <x:f>HYPERLINK("https://web.archive.org/web/20191209015335id_/https://www.gamerankings.com/ps/198218-nuclear-strike/","Source")</x:f>
        <x:v>Source</x:v>
      </x:c>
      <x:c r="BE256" s="11" t="str">
        <x:f>HYPERLINK("https://en.wikipedia.org/wiki/Nuclear_Strike","Wikipedia")</x:f>
        <x:v>Wikipedia</x:v>
      </x:c>
      <x:c r="BF256" s="11" t="str">
        <x:f>HYPERLINK("https://backloggd.com/search/games/Nuclear%20Strike/","Backloggd")</x:f>
        <x:v>Backloggd</x:v>
      </x:c>
      <x:c r="BG256" s="9"/>
      <x:c r="BH256" s="9"/>
      <x:c r="BI256" s="12" t="str">
        <x:v>No</x:v>
      </x:c>
      <x:c r="BJ256" s="12" t="str"/>
      <x:c r="BK256" s="12" t="str">
        <x:v>No</x:v>
      </x:c>
      <x:c r="BL256" s="12" t="str"/>
      <x:c r="BM256" s="12" t="str"/>
      <x:c r="BN256" s="12" t="str"/>
      <x:c r="BO256" s="12" t="str"/>
      <x:c r="BP256" s="12" t="str"/>
      <x:c r="BQ256" s="12" t="str"/>
    </x:row>
    <x:row r="257">
      <x:c r="A257" s="9" t="str">
        <x:v>ps1-44</x:v>
      </x:c>
      <x:c r="B257" s="9" t="str">
        <x:v>disruptor</x:v>
      </x:c>
      <x:c r="C257" s="9" t="str">
        <x:v>PlayStation</x:v>
      </x:c>
      <x:c r="D257" s="9" t="str">
        <x:v>Disruptor</x:v>
      </x:c>
      <x:c r="E257" s="9" t="str"/>
      <x:c r="F257" s="9" t="str">
        <x:v>Insomniac Games</x:v>
      </x:c>
      <x:c r="G257" s="9" t="str">
        <x:v>Universal Interactive Studios</x:v>
      </x:c>
      <x:c r="H257" s="9" t="n">
        <x:v>1996</x:v>
      </x:c>
      <x:c r="I257" s="9" t="str">
        <x:v>Yes</x:v>
      </x:c>
      <x:c r="J257" s="9" t="str">
        <x:v>No</x:v>
      </x:c>
      <x:c r="K257" s="9" t="str">
        <x:v>Yes</x:v>
      </x:c>
      <x:c r="L257" s="9" t="str">
        <x:v>No</x:v>
      </x:c>
      <x:c r="M257" s="9" t="str">
        <x:v>First-person shooter</x:v>
      </x:c>
      <x:c r="N257" s="9" t="str">
        <x:v>Live-action</x:v>
      </x:c>
      <x:c r="O257" s="9" t="n">
        <x:v>3</x:v>
      </x:c>
      <x:c r="P257" s="9" t="str">
        <x:v>Cutscenes only</x:v>
      </x:c>
      <x:c r="Q257" s="9" t="str">
        <x:v>Released</x:v>
      </x:c>
      <x:c r="R257" s="9" t="str">
        <x:v>Original production</x:v>
      </x:c>
      <x:c r="S257" s="9" t="str">
        <x:v>None</x:v>
      </x:c>
      <x:c r="T257" s="9" t="str">
        <x:v>Unknown — verify</x:v>
      </x:c>
      <x:c r="U257" s="9" t="n">
        <x:v>1</x:v>
      </x:c>
      <x:c r="V257" s="9" t="str">
        <x:v>No (passwords)</x:v>
      </x:c>
      <x:c r="W257" s="9" t="str">
        <x:v>None</x:v>
      </x:c>
      <x:c r="X257" s="9" t="str">
        <x:v>Low</x:v>
      </x:c>
      <x:c r="Y257" s="9" t="str"/>
      <x:c r="Z257" s="9" t="str">
        <x:v>6–10 hr</x:v>
      </x:c>
      <x:c r="AA257" s="9" t="str">
        <x:v>Insomniac's first game: a console FPS with earnest live-action briefings, years before Spyro.</x:v>
      </x:c>
      <x:c r="AB257" s="9" t="str">
        <x:v>None known</x:v>
      </x:c>
      <x:c r="AC257" s="9" t="str">
        <x:v>Live-action briefings between levels (verify)</x:v>
      </x:c>
      <x:c r="AD257" s="9" t="str">
        <x:v>Medium–hard</x:v>
      </x:c>
      <x:c r="AE257" s="9" t="str">
        <x:v>Single ending</x:v>
      </x:c>
      <x:c r="AF257" s="9" t="str">
        <x:v>Insomniac's debut; Universal Interactive published it before teaming with the studio on Spyro the Dragon.</x:v>
      </x:c>
      <x:c r="AG257" s="9" t="str"/>
      <x:c r="AH257" s="9" t="str">
        <x:v>No</x:v>
      </x:c>
      <x:c r="AI257" s="9" t="str">
        <x:v>Easy</x:v>
      </x:c>
      <x:c r="AJ257" s="9"/>
      <x:c r="AK257" s="9" t="str"/>
      <x:c r="AL257" s="10" t="n">
        <x:v>23</x:v>
      </x:c>
      <x:c r="AM257" s="10" t="n">
        <x:v>43.86</x:v>
      </x:c>
      <x:c r="AN257" s="10" t="n">
        <x:v>112.73</x:v>
      </x:c>
      <x:c r="AO257" s="9" t="str">
        <x:v>2026-10-21</x:v>
      </x:c>
      <x:c r="AP257" s="11" t="str">
        <x:f>HYPERLINK("https://www.pricecharting.com/game/playstation/disruptor","PriceCharting")</x:f>
        <x:v>PriceCharting</x:v>
      </x:c>
      <x:c r="AQ257" s="9"/>
      <x:c r="AR257" s="9"/>
      <x:c r="AS257" s="9"/>
      <x:c r="AT257" s="9"/>
      <x:c r="AU257" s="9"/>
      <x:c r="AV257" s="9"/>
      <x:c r="AW257" s="9"/>
      <x:c r="AX257" s="9"/>
      <x:c r="AY257" s="9" t="str">
        <x:v>82%</x:v>
      </x:c>
      <x:c r="AZ257" s="9" t="str">
        <x:v>3.4</x:v>
      </x:c>
      <x:c r="BA257" s="11" t="str">
        <x:f>HYPERLINK("https://www.mobygames.com/search/?q=Disruptor","MobyGames")</x:f>
        <x:v>MobyGames</x:v>
      </x:c>
      <x:c r="BB257" s="9" t="str">
        <x:v>80%</x:v>
      </x:c>
      <x:c r="BC257" s="9" t="str">
        <x:v>GameRankings, 6 reviews</x:v>
      </x:c>
      <x:c r="BD257" s="9" t="str">
        <x:f>HYPERLINK("https://web.archive.org/web/20191209015057id_/https://www.gamerankings.com/ps/197133-disruptor/","Source")</x:f>
        <x:v>Source</x:v>
      </x:c>
      <x:c r="BE257" s="11" t="str">
        <x:f>HYPERLINK("https://en.wikipedia.org/wiki/Disruptor_(video_game)","Wikipedia")</x:f>
        <x:v>Wikipedia</x:v>
      </x:c>
      <x:c r="BF257" s="11" t="str">
        <x:f>HYPERLINK("https://backloggd.com/search/games/Disruptor/","Backloggd")</x:f>
        <x:v>Backloggd</x:v>
      </x:c>
      <x:c r="BG257" s="9"/>
      <x:c r="BH257" s="9"/>
      <x:c r="BI257" s="12" t="str">
        <x:v>No</x:v>
      </x:c>
      <x:c r="BJ257" s="12" t="str"/>
      <x:c r="BK257" s="12" t="str">
        <x:v>No</x:v>
      </x:c>
      <x:c r="BL257" s="12" t="str"/>
      <x:c r="BM257" s="12" t="str"/>
      <x:c r="BN257" s="12" t="str"/>
      <x:c r="BO257" s="12" t="str"/>
      <x:c r="BP257" s="12" t="str"/>
      <x:c r="BQ257" s="12" t="str"/>
    </x:row>
    <x:row r="258">
      <x:c r="A258" s="9" t="str">
        <x:v>ps1-45</x:v>
      </x:c>
      <x:c r="B258" s="9" t="str">
        <x:v>gex-3-deep-cover-gecko</x:v>
      </x:c>
      <x:c r="C258" s="9" t="str">
        <x:v>PlayStation</x:v>
      </x:c>
      <x:c r="D258" s="9" t="str">
        <x:v>Gex 3: Deep Cover Gecko</x:v>
      </x:c>
      <x:c r="E258" s="9" t="str"/>
      <x:c r="F258" s="9" t="str">
        <x:v>Crystal Dynamics</x:v>
      </x:c>
      <x:c r="G258" s="9" t="str">
        <x:v>Eidos Interactive</x:v>
      </x:c>
      <x:c r="H258" s="9" t="n">
        <x:v>1999</x:v>
      </x:c>
      <x:c r="I258" s="9" t="str">
        <x:v>Yes</x:v>
      </x:c>
      <x:c r="J258" s="9" t="str">
        <x:v>No</x:v>
      </x:c>
      <x:c r="K258" s="9" t="str">
        <x:v>Yes</x:v>
      </x:c>
      <x:c r="L258" s="9" t="str">
        <x:v>No</x:v>
      </x:c>
      <x:c r="M258" s="9" t="str">
        <x:v>3D platformer</x:v>
      </x:c>
      <x:c r="N258" s="9" t="str">
        <x:v>Live-action</x:v>
      </x:c>
      <x:c r="O258" s="9" t="n">
        <x:v>2</x:v>
      </x:c>
      <x:c r="P258" s="9" t="str">
        <x:v>Cutscenes only</x:v>
      </x:c>
      <x:c r="Q258" s="9" t="str">
        <x:v>Released</x:v>
      </x:c>
      <x:c r="R258" s="9" t="str">
        <x:v>Original production</x:v>
      </x:c>
      <x:c r="S258" s="9" t="str">
        <x:v>N64 (no FMV)</x:v>
      </x:c>
      <x:c r="T258" s="9" t="str">
        <x:v>Marliece Andrada (Agent Xtra); Dana Gould (Gex voice)</x:v>
      </x:c>
      <x:c r="U258" s="9" t="n">
        <x:v>1</x:v>
      </x:c>
      <x:c r="V258" s="9" t="str">
        <x:v>Yes</x:v>
      </x:c>
      <x:c r="W258" s="9" t="str">
        <x:v>Memory card; DualShock</x:v>
      </x:c>
      <x:c r="X258" s="9" t="str">
        <x:v>Low</x:v>
      </x:c>
      <x:c r="Y258" s="9" t="str"/>
      <x:c r="Z258" s="9" t="str">
        <x:v>8–12 hr</x:v>
      </x:c>
      <x:c r="AA258" s="9" t="str">
        <x:v>A Baywatch star in live-action spy-spoof cutscenes opposite a wisecracking CG gecko.</x:v>
      </x:c>
      <x:c r="AB258" s="9" t="str">
        <x:v>None known</x:v>
      </x:c>
      <x:c r="AC258" s="9" t="str">
        <x:v>Live-action cutscenes (verify)</x:v>
      </x:c>
      <x:c r="AD258" s="9" t="str">
        <x:v>Easy–medium</x:v>
      </x:c>
      <x:c r="AE258" s="9" t="str">
        <x:v>Single ending</x:v>
      </x:c>
      <x:c r="AF258" s="9" t="str">
        <x:v>Playboy-era marketing leaned hard on Marliece Andrada's live-action role.</x:v>
      </x:c>
      <x:c r="AG258" s="9" t="str">
        <x:v>Greatest Hits (verify)</x:v>
      </x:c>
      <x:c r="AH258" s="9" t="str">
        <x:v>Yes (Gex Trilogy, Limited Run 2025: PS5, PS4, Xbox Series, Switch, Steam)</x:v>
      </x:c>
      <x:c r="AI258" s="9" t="str">
        <x:v>Easy</x:v>
      </x:c>
      <x:c r="AJ258" s="9"/>
      <x:c r="AK258" s="9" t="str"/>
      <x:c r="AL258" s="10" t="n">
        <x:v>9.7</x:v>
      </x:c>
      <x:c r="AM258" s="10" t="n">
        <x:v>23.91</x:v>
      </x:c>
      <x:c r="AN258" s="10" t="n">
        <x:v>109.77</x:v>
      </x:c>
      <x:c r="AO258" s="9" t="str">
        <x:v>2026-10-21</x:v>
      </x:c>
      <x:c r="AP258" s="11" t="str">
        <x:f>HYPERLINK("https://www.pricecharting.com/game/playstation/gex-3-deep-cover-gecko","PriceCharting")</x:f>
        <x:v>PriceCharting</x:v>
      </x:c>
      <x:c r="AQ258" s="9"/>
      <x:c r="AR258" s="9"/>
      <x:c r="AS258" s="9"/>
      <x:c r="AT258" s="9"/>
      <x:c r="AU258" s="9"/>
      <x:c r="AV258" s="9"/>
      <x:c r="AW258" s="9"/>
      <x:c r="AX258" s="9"/>
      <x:c r="AY258" s="9" t="str">
        <x:v>78%</x:v>
      </x:c>
      <x:c r="AZ258" s="9" t="str">
        <x:v>4.4</x:v>
      </x:c>
      <x:c r="BA258" s="11" t="str">
        <x:f>HYPERLINK("https://www.mobygames.com/search/?q=Gex+3%3A+Deep+Cover+Gecko","MobyGames")</x:f>
        <x:v>MobyGames</x:v>
      </x:c>
      <x:c r="BB258" s="9" t="str">
        <x:v>77%</x:v>
      </x:c>
      <x:c r="BC258" s="9" t="str">
        <x:v>GameRankings, 11 reviews</x:v>
      </x:c>
      <x:c r="BD258" s="9" t="str">
        <x:f>HYPERLINK("https://web.archive.org/web/20191209014522id_/https://www.gamerankings.com/ps/197443-gex-3-deep-cover-gecko/","Source")</x:f>
        <x:v>Source</x:v>
      </x:c>
      <x:c r="BE258" s="11" t="str">
        <x:f>HYPERLINK("https://en.wikipedia.org/wiki/Gex_3:_Deep_Cover_Gecko","Wikipedia")</x:f>
        <x:v>Wikipedia</x:v>
      </x:c>
      <x:c r="BF258" s="11" t="str">
        <x:f>HYPERLINK("https://backloggd.com/search/games/Gex%203%3A%20Deep%20Cover%20Gecko/","Backloggd")</x:f>
        <x:v>Backloggd</x:v>
      </x:c>
      <x:c r="BG258" s="9"/>
      <x:c r="BH258" s="9"/>
      <x:c r="BI258" s="12" t="str">
        <x:v>No</x:v>
      </x:c>
      <x:c r="BJ258" s="12" t="str"/>
      <x:c r="BK258" s="12" t="str">
        <x:v>No</x:v>
      </x:c>
      <x:c r="BL258" s="12" t="str"/>
      <x:c r="BM258" s="12" t="str"/>
      <x:c r="BN258" s="12" t="str"/>
      <x:c r="BO258" s="12" t="str"/>
      <x:c r="BP258" s="12" t="str"/>
      <x:c r="BQ258" s="12" t="str"/>
    </x:row>
    <x:row r="259">
      <x:c r="A259" s="9" t="str">
        <x:v>ps1-46</x:v>
      </x:c>
      <x:c r="B259" s="9" t="str">
        <x:v>resident-evil</x:v>
      </x:c>
      <x:c r="C259" s="9" t="str">
        <x:v>PlayStation</x:v>
      </x:c>
      <x:c r="D259" s="9" t="str">
        <x:v>Resident Evil</x:v>
      </x:c>
      <x:c r="E259" s="9" t="str">
        <x:v>Biohazard (JP)</x:v>
      </x:c>
      <x:c r="F259" s="9" t="str">
        <x:v>Capcom</x:v>
      </x:c>
      <x:c r="G259" s="9" t="str">
        <x:v>Capcom (JP/NA), Virgin (EU)</x:v>
      </x:c>
      <x:c r="H259" s="9" t="n">
        <x:v>1996</x:v>
      </x:c>
      <x:c r="I259" s="9" t="str">
        <x:v>Yes</x:v>
      </x:c>
      <x:c r="J259" s="9" t="str">
        <x:v>Yes</x:v>
      </x:c>
      <x:c r="K259" s="9" t="str">
        <x:v>Yes</x:v>
      </x:c>
      <x:c r="L259" s="9" t="str">
        <x:v>No</x:v>
      </x:c>
      <x:c r="M259" s="9" t="str">
        <x:v>Survival horror</x:v>
      </x:c>
      <x:c r="N259" s="9" t="str">
        <x:v>Live-action</x:v>
      </x:c>
      <x:c r="O259" s="9" t="n">
        <x:v>2</x:v>
      </x:c>
      <x:c r="P259" s="9" t="str">
        <x:v>Cutscenes only</x:v>
      </x:c>
      <x:c r="Q259" s="9" t="str">
        <x:v>Released</x:v>
      </x:c>
      <x:c r="R259" s="9" t="str">
        <x:v>Original production</x:v>
      </x:c>
      <x:c r="S259" s="9" t="str">
        <x:v>Saturn, PC, GameCube (remake), DS</x:v>
      </x:c>
      <x:c r="T259" s="9" t="str">
        <x:v>Charlie Kraslavsky (Chris), Inez Jesionowski (Jill), Greg Smith (Barry), Linda (Rebecca), Eric Pirius (Albert Wesker), Jason Durkee (Joseph) in the live-action intro and endings</x:v>
      </x:c>
      <x:c r="U259" s="9" t="n">
        <x:v>1</x:v>
      </x:c>
      <x:c r="V259" s="9" t="str">
        <x:v>Yes</x:v>
      </x:c>
      <x:c r="W259" s="9" t="str">
        <x:v>Memory card</x:v>
      </x:c>
      <x:c r="X259" s="9" t="str">
        <x:v>Low</x:v>
      </x:c>
      <x:c r="Y259" s="9" t="str"/>
      <x:c r="Z259" s="9" t="str">
        <x:v>5–8 hr</x:v>
      </x:c>
      <x:c r="AA259" s="9" t="str">
        <x:v>The most famously bad live-action intro in games, plus 'Jill sandwich' voice acting to match.</x:v>
      </x:c>
      <x:c r="AB259" s="9" t="str">
        <x:v>None known</x:v>
      </x:c>
      <x:c r="AC259" s="9" t="str">
        <x:v>Full-screen live-action intro and endings; NA/EU intro cut and in black and white (verify)</x:v>
      </x:c>
      <x:c r="AD259" s="9" t="str">
        <x:v>Medium; ink ribbons limit saves</x:v>
      </x:c>
      <x:c r="AE259" s="9" t="str">
        <x:v>Multiple endings per character depending on who survives</x:v>
      </x:c>
      <x:c r="AF259" s="9" t="str">
        <x:v>Western releases cut the gore and shot the intro in black and white; Japan got the colour version.</x:v>
      </x:c>
      <x:c r="AG259" s="9" t="str">
        <x:v>Director's Cut, Director's Cut Dual Shock Ver., Greatest Hits</x:v>
      </x:c>
      <x:c r="AH259" s="9" t="str">
        <x:v>Yes (Director's Cut in PlayStation Plus Premium on PS4/PS5)</x:v>
      </x:c>
      <x:c r="AI259" s="9" t="str">
        <x:v>Easy</x:v>
      </x:c>
      <x:c r="AJ259" s="9"/>
      <x:c r="AK259" s="9" t="str"/>
      <x:c r="AL259" s="10" t="n">
        <x:v>45.96</x:v>
      </x:c>
      <x:c r="AM259" s="10" t="n">
        <x:v>190</x:v>
      </x:c>
      <x:c r="AN259" s="10" t="n">
        <x:v>494</x:v>
      </x:c>
      <x:c r="AO259" s="9" t="str">
        <x:v>2026-10-21</x:v>
      </x:c>
      <x:c r="AP259" s="11" t="str">
        <x:f>HYPERLINK("https://www.pricecharting.com/game/playstation/resident-evil","PriceCharting")</x:f>
        <x:v>PriceCharting</x:v>
      </x:c>
      <x:c r="AQ259" s="9"/>
      <x:c r="AR259" s="9"/>
      <x:c r="AS259" s="9"/>
      <x:c r="AT259" s="9"/>
      <x:c r="AU259" s="9"/>
      <x:c r="AV259" s="9"/>
      <x:c r="AW259" s="9"/>
      <x:c r="AX259" s="9"/>
      <x:c r="AY259" s="9"/>
      <x:c r="AZ259" s="9"/>
      <x:c r="BA259" s="11" t="str">
        <x:f>HYPERLINK("https://www.mobygames.com/search/?q=Resident+Evil","MobyGames")</x:f>
        <x:v>MobyGames</x:v>
      </x:c>
      <x:c r="BB259" s="9" t="str">
        <x:v>87%</x:v>
      </x:c>
      <x:c r="BC259" s="9" t="str">
        <x:v>GameRankings, 11 reviews</x:v>
      </x:c>
      <x:c r="BD259" s="9" t="str">
        <x:f>HYPERLINK("https://web.archive.org/web/20191209011016id_/https://www.gamerankings.com/ps/198454-resident-evil/","Source")</x:f>
        <x:v>Source</x:v>
      </x:c>
      <x:c r="BE259" s="11" t="str">
        <x:f>HYPERLINK("https://en.wikipedia.org/wiki/Resident_Evil_(1996_video_game)","Wikipedia")</x:f>
        <x:v>Wikipedia</x:v>
      </x:c>
      <x:c r="BF259" s="11" t="str">
        <x:f>HYPERLINK("https://backloggd.com/search/games/Resident%20Evil/","Backloggd")</x:f>
        <x:v>Backloggd</x:v>
      </x:c>
      <x:c r="BG259" s="9"/>
      <x:c r="BH259" s="9"/>
      <x:c r="BI259" s="12" t="str">
        <x:v>No</x:v>
      </x:c>
      <x:c r="BJ259" s="12" t="str"/>
      <x:c r="BK259" s="12" t="str">
        <x:v>No</x:v>
      </x:c>
      <x:c r="BL259" s="12" t="str"/>
      <x:c r="BM259" s="12" t="str"/>
      <x:c r="BN259" s="12" t="str"/>
      <x:c r="BO259" s="12" t="str"/>
      <x:c r="BP259" s="12" t="str"/>
      <x:c r="BQ259" s="12" t="str"/>
    </x:row>
    <x:row r="260">
      <x:c r="A260" s="9" t="str">
        <x:v>ps1-47</x:v>
      </x:c>
      <x:c r="B260" s="9" t="str">
        <x:v>krazy-ivan</x:v>
      </x:c>
      <x:c r="C260" s="9" t="str">
        <x:v>PlayStation</x:v>
      </x:c>
      <x:c r="D260" s="9" t="str">
        <x:v>Krazy Ivan</x:v>
      </x:c>
      <x:c r="E260" s="9" t="str"/>
      <x:c r="F260" s="9" t="str">
        <x:v>Psygnosis</x:v>
      </x:c>
      <x:c r="G260" s="9" t="str">
        <x:v>Psygnosis (NA/EU); Electronic Arts Victor (JP)</x:v>
      </x:c>
      <x:c r="H260" s="9" t="n">
        <x:v>1996</x:v>
      </x:c>
      <x:c r="I260" s="9" t="str">
        <x:v>Yes</x:v>
      </x:c>
      <x:c r="J260" s="9" t="str">
        <x:v>Yes</x:v>
      </x:c>
      <x:c r="K260" s="9" t="str">
        <x:v>Yes</x:v>
      </x:c>
      <x:c r="L260" s="9" t="str">
        <x:v>No</x:v>
      </x:c>
      <x:c r="M260" s="9" t="str">
        <x:v>Mech shooter</x:v>
      </x:c>
      <x:c r="N260" s="9" t="str">
        <x:v>Live-action</x:v>
      </x:c>
      <x:c r="O260" s="9" t="n">
        <x:v>3</x:v>
      </x:c>
      <x:c r="P260" s="9" t="str">
        <x:v>Cutscenes only</x:v>
      </x:c>
      <x:c r="Q260" s="9" t="str">
        <x:v>Released</x:v>
      </x:c>
      <x:c r="R260" s="9" t="str">
        <x:v>Original production</x:v>
      </x:c>
      <x:c r="S260" s="9" t="str">
        <x:v>Saturn, PC</x:v>
      </x:c>
      <x:c r="T260" s="9" t="str">
        <x:v>Unknown — verify</x:v>
      </x:c>
      <x:c r="U260" s="9" t="n">
        <x:v>1</x:v>
      </x:c>
      <x:c r="V260" s="9" t="str">
        <x:v>Yes</x:v>
      </x:c>
      <x:c r="W260" s="9" t="str">
        <x:v>Memory card</x:v>
      </x:c>
      <x:c r="X260" s="9" t="str">
        <x:v>Low</x:v>
      </x:c>
      <x:c r="Y260" s="9" t="str"/>
      <x:c r="Z260" s="9" t="str">
        <x:v>3–5 hr</x:v>
      </x:c>
      <x:c r="AA260" s="9" t="str">
        <x:v>A Russian mech pilot's hammy live-action cutscenes wrapped around an early PS1 arena shooter.</x:v>
      </x:c>
      <x:c r="AB260" s="9" t="str">
        <x:v>None known</x:v>
      </x:c>
      <x:c r="AC260" s="9" t="str">
        <x:v>Live-action cutscenes (verify)</x:v>
      </x:c>
      <x:c r="AD260" s="9" t="str">
        <x:v>Medium</x:v>
      </x:c>
      <x:c r="AE260" s="9" t="str">
        <x:v>Single ending</x:v>
      </x:c>
      <x:c r="AF260" s="9" t="str"/>
      <x:c r="AG260" s="9" t="str"/>
      <x:c r="AH260" s="9" t="str">
        <x:v>No</x:v>
      </x:c>
      <x:c r="AI260" s="9" t="str">
        <x:v>Easy</x:v>
      </x:c>
      <x:c r="AJ260" s="9"/>
      <x:c r="AK260" s="9" t="str">
        <x:v>Confirm amount of live-action footage.</x:v>
      </x:c>
      <x:c r="AL260" s="10" t="n">
        <x:v>10.36</x:v>
      </x:c>
      <x:c r="AM260" s="10" t="n">
        <x:v>27.36</x:v>
      </x:c>
      <x:c r="AN260" s="10" t="n">
        <x:v>71</x:v>
      </x:c>
      <x:c r="AO260" s="9" t="str">
        <x:v>2026-10-21</x:v>
      </x:c>
      <x:c r="AP260" s="11" t="str">
        <x:f>HYPERLINK("https://www.pricecharting.com/game/playstation/krazy-ivan","PriceCharting")</x:f>
        <x:v>PriceCharting</x:v>
      </x:c>
      <x:c r="AQ260" s="9"/>
      <x:c r="AR260" s="9"/>
      <x:c r="AS260" s="9"/>
      <x:c r="AT260" s="9"/>
      <x:c r="AU260" s="9"/>
      <x:c r="AV260" s="9"/>
      <x:c r="AW260" s="9"/>
      <x:c r="AX260" s="9"/>
      <x:c r="AY260" s="9" t="str">
        <x:v>74%</x:v>
      </x:c>
      <x:c r="AZ260" s="9"/>
      <x:c r="BA260" s="11" t="str">
        <x:f>HYPERLINK("https://www.mobygames.com/search/?q=Krazy+Ivan","MobyGames")</x:f>
        <x:v>MobyGames</x:v>
      </x:c>
      <x:c r="BB260" s="9" t="str">
        <x:v>63%</x:v>
      </x:c>
      <x:c r="BC260" s="9" t="str">
        <x:v>average of 4 reviews on Wikipedia (EGM, Hyper, Maximum, NGen)</x:v>
      </x:c>
      <x:c r="BD260" s="9" t="str">
        <x:f>HYPERLINK("https://en.wikipedia.org/wiki/Krazy_Ivan","Source")</x:f>
        <x:v>Source</x:v>
      </x:c>
      <x:c r="BE260" s="11" t="str">
        <x:f>HYPERLINK("https://en.wikipedia.org/wiki/Krazy_Ivan","Wikipedia")</x:f>
        <x:v>Wikipedia</x:v>
      </x:c>
      <x:c r="BF260" s="11" t="str">
        <x:f>HYPERLINK("https://backloggd.com/search/games/Krazy%20Ivan/","Backloggd")</x:f>
        <x:v>Backloggd</x:v>
      </x:c>
      <x:c r="BG260" s="9"/>
      <x:c r="BH260" s="9"/>
      <x:c r="BI260" s="12" t="str">
        <x:v>No</x:v>
      </x:c>
      <x:c r="BJ260" s="12" t="str"/>
      <x:c r="BK260" s="12" t="str">
        <x:v>No</x:v>
      </x:c>
      <x:c r="BL260" s="12" t="str"/>
      <x:c r="BM260" s="12" t="str"/>
      <x:c r="BN260" s="12" t="str"/>
      <x:c r="BO260" s="12" t="str"/>
      <x:c r="BP260" s="12" t="str"/>
      <x:c r="BQ260" s="12" t="str"/>
    </x:row>
    <x:row r="261">
      <x:c r="A261" s="9" t="str">
        <x:v>ps1-48</x:v>
      </x:c>
      <x:c r="B261" s="9" t="str">
        <x:v>heart-of-darkness</x:v>
      </x:c>
      <x:c r="C261" s="9" t="str">
        <x:v>PlayStation</x:v>
      </x:c>
      <x:c r="D261" s="9" t="str">
        <x:v>Heart of Darkness</x:v>
      </x:c>
      <x:c r="E261" s="9" t="str"/>
      <x:c r="F261" s="9" t="str">
        <x:v>Amazing Studio</x:v>
      </x:c>
      <x:c r="G261" s="9" t="str">
        <x:v>Infogrames (EU), Interplay (NA)</x:v>
      </x:c>
      <x:c r="H261" s="9" t="n">
        <x:v>1998</x:v>
      </x:c>
      <x:c r="I261" s="9" t="str">
        <x:v>Yes</x:v>
      </x:c>
      <x:c r="J261" s="9" t="str">
        <x:v>No</x:v>
      </x:c>
      <x:c r="K261" s="9" t="str">
        <x:v>Yes</x:v>
      </x:c>
      <x:c r="L261" s="9" t="str">
        <x:v>No</x:v>
      </x:c>
      <x:c r="M261" s="9" t="str">
        <x:v>Cinematic platformer</x:v>
      </x:c>
      <x:c r="N261" s="9" t="str">
        <x:v>Pre-rendered CG</x:v>
      </x:c>
      <x:c r="O261" s="9" t="n">
        <x:v>3</x:v>
      </x:c>
      <x:c r="P261" s="9" t="str">
        <x:v>Pre-rendered CG</x:v>
      </x:c>
      <x:c r="Q261" s="9" t="str">
        <x:v>Released</x:v>
      </x:c>
      <x:c r="R261" s="9" t="str">
        <x:v>Original production</x:v>
      </x:c>
      <x:c r="S261" s="9" t="str">
        <x:v>PC</x:v>
      </x:c>
      <x:c r="T261" s="9" t="str">
        <x:v>—</x:v>
      </x:c>
      <x:c r="U261" s="9" t="n">
        <x:v>2</x:v>
      </x:c>
      <x:c r="V261" s="9" t="str">
        <x:v>Yes</x:v>
      </x:c>
      <x:c r="W261" s="9" t="str">
        <x:v>Memory card</x:v>
      </x:c>
      <x:c r="X261" s="9" t="str">
        <x:v>Low</x:v>
      </x:c>
      <x:c r="Y261" s="9" t="str"/>
      <x:c r="Z261" s="9" t="str">
        <x:v>3–5 hr</x:v>
      </x:c>
      <x:c r="AA261" s="9" t="str">
        <x:v>Eric Chahi's follow-up to Another World, with half an hour of lavish CG movies and a Bruce Broughton score.</x:v>
      </x:c>
      <x:c r="AB261" s="9" t="str">
        <x:v>None known</x:v>
      </x:c>
      <x:c r="AC261" s="9" t="str">
        <x:v>Full-screen CG movies, roughly 30 minutes total (verify)</x:v>
      </x:c>
      <x:c r="AD261" s="9" t="str">
        <x:v>Hard; trial-and-error deaths</x:v>
      </x:c>
      <x:c r="AE261" s="9" t="str">
        <x:v>Single ending</x:v>
      </x:c>
      <x:c r="AF261" s="9" t="str">
        <x:v>Six years in development; the orchestral score was recorded with the Sinfonia of London under Bruce Broughton.</x:v>
      </x:c>
      <x:c r="AG261" s="9" t="str"/>
      <x:c r="AH261" s="9" t="str">
        <x:v>No (PC fan ports only)</x:v>
      </x:c>
      <x:c r="AI261" s="9" t="str">
        <x:v>Easy</x:v>
      </x:c>
      <x:c r="AJ261" s="9"/>
      <x:c r="AK261" s="9" t="str"/>
      <x:c r="AL261" s="10" t="n">
        <x:v>25.33</x:v>
      </x:c>
      <x:c r="AM261" s="10" t="n">
        <x:v>72.47</x:v>
      </x:c>
      <x:c r="AN261" s="10" t="n">
        <x:v>149.85</x:v>
      </x:c>
      <x:c r="AO261" s="9" t="str">
        <x:v>2026-10-21</x:v>
      </x:c>
      <x:c r="AP261" s="11" t="str">
        <x:f>HYPERLINK("https://www.pricecharting.com/game/playstation/heart-of-darkness","PriceCharting")</x:f>
        <x:v>PriceCharting</x:v>
      </x:c>
      <x:c r="AQ261" s="9"/>
      <x:c r="AR261" s="9"/>
      <x:c r="AS261" s="9"/>
      <x:c r="AT261" s="9"/>
      <x:c r="AU261" s="9"/>
      <x:c r="AV261" s="9"/>
      <x:c r="AW261" s="9"/>
      <x:c r="AX261" s="9"/>
      <x:c r="AY261" s="9"/>
      <x:c r="AZ261" s="9"/>
      <x:c r="BA261" s="11" t="str">
        <x:f>HYPERLINK("https://www.mobygames.com/search/?q=Heart+of+Darkness","MobyGames")</x:f>
        <x:v>MobyGames</x:v>
      </x:c>
      <x:c r="BB261" s="9" t="str">
        <x:v>75%</x:v>
      </x:c>
      <x:c r="BC261" s="9" t="str">
        <x:v>GameRankings, 9 reviews</x:v>
      </x:c>
      <x:c r="BD261" s="9" t="str">
        <x:f>HYPERLINK("https://web.archive.org/web/20191209013800id_/https://www.gamerankings.com/ps/197533-heart-of-darkness/","Source")</x:f>
        <x:v>Source</x:v>
      </x:c>
      <x:c r="BE261" s="11" t="str">
        <x:f>HYPERLINK("https://en.wikipedia.org/wiki/Heart_of_Darkness_(video_game)","Wikipedia")</x:f>
        <x:v>Wikipedia</x:v>
      </x:c>
      <x:c r="BF261" s="11" t="str">
        <x:f>HYPERLINK("https://backloggd.com/search/games/Heart%20of%20Darkness/","Backloggd")</x:f>
        <x:v>Backloggd</x:v>
      </x:c>
      <x:c r="BG261" s="9"/>
      <x:c r="BH261" s="9"/>
      <x:c r="BI261" s="12" t="str">
        <x:v>No</x:v>
      </x:c>
      <x:c r="BJ261" s="12" t="str"/>
      <x:c r="BK261" s="12" t="str">
        <x:v>No</x:v>
      </x:c>
      <x:c r="BL261" s="12" t="str"/>
      <x:c r="BM261" s="12" t="str"/>
      <x:c r="BN261" s="12" t="str"/>
      <x:c r="BO261" s="12" t="str"/>
      <x:c r="BP261" s="12" t="str"/>
      <x:c r="BQ261" s="12" t="str"/>
    </x:row>
    <x:row r="262">
      <x:c r="A262" s="9" t="str">
        <x:v>ps1-49</x:v>
      </x:c>
      <x:c r="B262" s="9" t="str">
        <x:v>oddworld-abes-oddysee</x:v>
      </x:c>
      <x:c r="C262" s="9" t="str">
        <x:v>PlayStation</x:v>
      </x:c>
      <x:c r="D262" s="9" t="str">
        <x:v>Oddworld: Abe's Oddysee</x:v>
      </x:c>
      <x:c r="E262" s="9" t="str">
        <x:v>Abe '99 (JP)</x:v>
      </x:c>
      <x:c r="F262" s="9" t="str">
        <x:v>Oddworld Inhabitants</x:v>
      </x:c>
      <x:c r="G262" s="9" t="str">
        <x:v>GT Interactive (NA/EU), SCEI (JP)</x:v>
      </x:c>
      <x:c r="H262" s="9" t="n">
        <x:v>1997</x:v>
      </x:c>
      <x:c r="I262" s="9" t="str">
        <x:v>Yes</x:v>
      </x:c>
      <x:c r="J262" s="9" t="str">
        <x:v>Yes</x:v>
      </x:c>
      <x:c r="K262" s="9" t="str">
        <x:v>Yes</x:v>
      </x:c>
      <x:c r="L262" s="9" t="str">
        <x:v>No</x:v>
      </x:c>
      <x:c r="M262" s="9" t="str">
        <x:v>Cinematic platformer</x:v>
      </x:c>
      <x:c r="N262" s="9" t="str">
        <x:v>Pre-rendered CG</x:v>
      </x:c>
      <x:c r="O262" s="9" t="n">
        <x:v>3</x:v>
      </x:c>
      <x:c r="P262" s="9" t="str">
        <x:v>Pre-rendered CG</x:v>
      </x:c>
      <x:c r="Q262" s="9" t="str">
        <x:v>Released</x:v>
      </x:c>
      <x:c r="R262" s="9" t="str">
        <x:v>Original production</x:v>
      </x:c>
      <x:c r="S262" s="9" t="str">
        <x:v>PC, Game Boy (Oddworld Adventures), modern re-releases</x:v>
      </x:c>
      <x:c r="T262" s="9" t="str">
        <x:v>Lorne Lanning (voice of Abe)</x:v>
      </x:c>
      <x:c r="U262" s="9" t="n">
        <x:v>1</x:v>
      </x:c>
      <x:c r="V262" s="9" t="str">
        <x:v>Yes</x:v>
      </x:c>
      <x:c r="W262" s="9" t="str">
        <x:v>Memory card</x:v>
      </x:c>
      <x:c r="X262" s="9" t="str">
        <x:v>Low</x:v>
      </x:c>
      <x:c r="Y262" s="9" t="str"/>
      <x:c r="Z262" s="9" t="str">
        <x:v>5–8 hr</x:v>
      </x:c>
      <x:c r="AA262" s="9" t="str">
        <x:v>Rupture Farms' CG movies made Abe a mascot; the story is told almost entirely through them.</x:v>
      </x:c>
      <x:c r="AB262" s="9" t="str">
        <x:v>Level select and FMV viewer codes exist (verify inputs)</x:v>
      </x:c>
      <x:c r="AC262" s="9" t="str">
        <x:v>Full-screen CG movies (verify)</x:v>
      </x:c>
      <x:c r="AD262" s="9" t="str">
        <x:v>Hard; precise puzzle platforming</x:v>
      </x:c>
      <x:c r="AE262" s="9" t="str">
        <x:v>Good and bad ending depending on Mudokons rescued</x:v>
      </x:c>
      <x:c r="AF262" s="9" t="str">
        <x:v>Lorne Lanning, the co-founder, voiced Abe himself.</x:v>
      </x:c>
      <x:c r="AG262" s="9" t="str">
        <x:v>Greatest Hits; JP title Abe '99 (verify)</x:v>
      </x:c>
      <x:c r="AH262" s="9" t="str">
        <x:v>Yes (PC on Steam/GOG; New 'n' Tasty remake on modern consoles)</x:v>
      </x:c>
      <x:c r="AI262" s="9" t="str">
        <x:v>Easy</x:v>
      </x:c>
      <x:c r="AJ262" s="9"/>
      <x:c r="AK262" s="9" t="str"/>
      <x:c r="AL262" s="10" t="n">
        <x:v>12.99</x:v>
      </x:c>
      <x:c r="AM262" s="10" t="n">
        <x:v>20.59</x:v>
      </x:c>
      <x:c r="AN262" s="10" t="n">
        <x:v>89.81</x:v>
      </x:c>
      <x:c r="AO262" s="9" t="str">
        <x:v>2026-10-21</x:v>
      </x:c>
      <x:c r="AP262" s="11" t="str">
        <x:f>HYPERLINK("https://www.pricecharting.com/game/playstation/oddworld-abe%27s-oddysee","PriceCharting")</x:f>
        <x:v>PriceCharting</x:v>
      </x:c>
      <x:c r="AQ262" s="9"/>
      <x:c r="AR262" s="9"/>
      <x:c r="AS262" s="9"/>
      <x:c r="AT262" s="9"/>
      <x:c r="AU262" s="9"/>
      <x:c r="AV262" s="9"/>
      <x:c r="AW262" s="9"/>
      <x:c r="AX262" s="9"/>
      <x:c r="AY262" s="9"/>
      <x:c r="AZ262" s="9"/>
      <x:c r="BA262" s="11" t="str">
        <x:f>HYPERLINK("https://www.mobygames.com/search/?q=Oddworld%3A+Abe%27s+Oddysee","MobyGames")</x:f>
        <x:v>MobyGames</x:v>
      </x:c>
      <x:c r="BB262" s="9" t="str">
        <x:v>88%</x:v>
      </x:c>
      <x:c r="BC262" s="9" t="str">
        <x:v>GameRankings, 18 reviews</x:v>
      </x:c>
      <x:c r="BD262" s="9" t="str">
        <x:f>HYPERLINK("https://web.archive.org/web/20191209014204id_/https://www.gamerankings.com/ps/198224-oddworld-abes-oddysee/","Source")</x:f>
        <x:v>Source</x:v>
      </x:c>
      <x:c r="BE262" s="11" t="str">
        <x:f>HYPERLINK("https://en.wikipedia.org/wiki/Oddworld:_Abe%27s_Oddysee","Wikipedia")</x:f>
        <x:v>Wikipedia</x:v>
      </x:c>
      <x:c r="BF262" s="11" t="str">
        <x:f>HYPERLINK("https://backloggd.com/search/games/Oddworld%3A%20Abe%27s%20Oddysee/","Backloggd")</x:f>
        <x:v>Backloggd</x:v>
      </x:c>
      <x:c r="BG262" s="9"/>
      <x:c r="BH262" s="9"/>
      <x:c r="BI262" s="12" t="str">
        <x:v>No</x:v>
      </x:c>
      <x:c r="BJ262" s="12" t="str"/>
      <x:c r="BK262" s="12" t="str">
        <x:v>No</x:v>
      </x:c>
      <x:c r="BL262" s="12" t="str"/>
      <x:c r="BM262" s="12" t="str"/>
      <x:c r="BN262" s="12" t="str"/>
      <x:c r="BO262" s="12" t="str"/>
      <x:c r="BP262" s="12" t="str"/>
      <x:c r="BQ262" s="12" t="str"/>
    </x:row>
    <x:row r="263">
      <x:c r="A263" s="9" t="str">
        <x:v>ps1-50</x:v>
      </x:c>
      <x:c r="B263" s="9" t="str">
        <x:v>jeopardy-pc</x:v>
      </x:c>
      <x:c r="C263" s="9" t="str">
        <x:v>PlayStation</x:v>
      </x:c>
      <x:c r="D263" s="9" t="str">
        <x:v>Jeopardy!</x:v>
      </x:c>
      <x:c r="E263" s="9" t="str"/>
      <x:c r="F263" s="9" t="str">
        <x:v>Artech Studios</x:v>
      </x:c>
      <x:c r="G263" s="9" t="str">
        <x:v>Hasbro Interactive</x:v>
      </x:c>
      <x:c r="H263" s="9" t="n">
        <x:v>1998</x:v>
      </x:c>
      <x:c r="I263" s="9" t="str">
        <x:v>Yes</x:v>
      </x:c>
      <x:c r="J263" s="9" t="str">
        <x:v>No</x:v>
      </x:c>
      <x:c r="K263" s="9" t="str">
        <x:v>No</x:v>
      </x:c>
      <x:c r="L263" s="9" t="str">
        <x:v>No</x:v>
      </x:c>
      <x:c r="M263" s="9" t="str">
        <x:v>Quiz / game show</x:v>
      </x:c>
      <x:c r="N263" s="9" t="str">
        <x:v>Live-action</x:v>
      </x:c>
      <x:c r="O263" s="9" t="n">
        <x:v>4</x:v>
      </x:c>
      <x:c r="P263" s="9" t="str">
        <x:v>Game show / trivia</x:v>
      </x:c>
      <x:c r="Q263" s="9" t="str">
        <x:v>Released</x:v>
      </x:c>
      <x:c r="R263" s="9" t="str">
        <x:v>TV game show (Sony Pictures / Merv Griffin)</x:v>
      </x:c>
      <x:c r="S263" s="9" t="str">
        <x:v>PC (1998)</x:v>
      </x:c>
      <x:c r="T263" s="9" t="str">
        <x:v>Alex Trebek (filmed clips, verify); Johnny Gilbert (voice, verify)</x:v>
      </x:c>
      <x:c r="U263" s="9" t="n">
        <x:v>1</x:v>
      </x:c>
      <x:c r="V263" s="9" t="str">
        <x:v>Yes (memory card, 7 blocks)</x:v>
      </x:c>
      <x:c r="W263" s="9" t="str">
        <x:v>Standard controller (analog compatible); Multitap (1–3 players); memory card (7 blocks)</x:v>
      </x:c>
      <x:c r="X263" s="9" t="str">
        <x:v>Med</x:v>
      </x:c>
      <x:c r="Y263" s="9" t="str">
        <x:v>Jeopardy! theme 'Think!' music and show branding</x:v>
      </x:c>
      <x:c r="Z263" s="9" t="str">
        <x:v>20–30 min per game</x:v>
      </x:c>
      <x:c r="AA263" s="9" t="str">
        <x:v>Alex Trebek reading clues to you on a PlayStation, in grainy 1998 video.</x:v>
      </x:c>
      <x:c r="AB263" s="9" t="str">
        <x:v>None known</x:v>
      </x:c>
      <x:c r="AC263" s="9" t="str">
        <x:v>Small-window filmed host clips (verify)</x:v>
      </x:c>
      <x:c r="AD263" s="9" t="str">
        <x:v>Easy to Hard question sets; typing answers with a d-pad keyboard is the real challenge</x:v>
      </x:c>
      <x:c r="AE263" s="9" t="str">
        <x:v>None; score-based</x:v>
      </x:c>
      <x:c r="AF263" s="9" t="str">
        <x:v>One of a pair of Hasbro Interactive game-show ports released alongside Wheel of Fortune in 1998.</x:v>
      </x:c>
      <x:c r="AG263" s="9" t="str">
        <x:v>NA only on PS1; Greatest Hits reprint unconfirmed (verify)</x:v>
      </x:c>
      <x:c r="AH263" s="9" t="str">
        <x:v>No</x:v>
      </x:c>
      <x:c r="AI263" s="9" t="str">
        <x:v>Easy</x:v>
      </x:c>
      <x:c r="AJ263" s="9"/>
      <x:c r="AK263" s="9" t="str">
        <x:v>Host video presence on PS1 not confirmed; PC version had filmed Trebek.</x:v>
      </x:c>
      <x:c r="AL263" s="10" t="n">
        <x:v>4.69</x:v>
      </x:c>
      <x:c r="AM263" s="10" t="n">
        <x:v>6.41</x:v>
      </x:c>
      <x:c r="AN263" s="10" t="n">
        <x:v>14.95</x:v>
      </x:c>
      <x:c r="AO263" s="9" t="str">
        <x:v>2026-10-21</x:v>
      </x:c>
      <x:c r="AP263" s="11" t="str">
        <x:f>HYPERLINK("https://www.pricecharting.com/game/playstation/jeopardy","PriceCharting")</x:f>
        <x:v>PriceCharting</x:v>
      </x:c>
      <x:c r="AQ263" s="9"/>
      <x:c r="AR263" s="9"/>
      <x:c r="AS263" s="9"/>
      <x:c r="AT263" s="9"/>
      <x:c r="AU263" s="9"/>
      <x:c r="AV263" s="9"/>
      <x:c r="AW263" s="9"/>
      <x:c r="AX263" s="9"/>
      <x:c r="AY263" s="9" t="str">
        <x:v>77%</x:v>
      </x:c>
      <x:c r="AZ263" s="9"/>
      <x:c r="BA263" s="11" t="str">
        <x:f>HYPERLINK("https://www.mobygames.com/search/?q=Jeopardy%21","MobyGames")</x:f>
        <x:v>MobyGames</x:v>
      </x:c>
      <x:c r="BB263" s="9"/>
      <x:c r="BC263" s="9"/>
      <x:c r="BD263" s="9"/>
      <x:c r="BE263" s="9"/>
      <x:c r="BF263" s="11" t="str">
        <x:f>HYPERLINK("https://backloggd.com/search/games/Jeopardy%21/","Backloggd")</x:f>
        <x:v>Backloggd</x:v>
      </x:c>
      <x:c r="BG263" s="9"/>
      <x:c r="BH263" s="9"/>
      <x:c r="BI263" s="12" t="str">
        <x:v>No</x:v>
      </x:c>
      <x:c r="BJ263" s="12" t="str"/>
      <x:c r="BK263" s="12" t="str">
        <x:v>No</x:v>
      </x:c>
      <x:c r="BL263" s="12" t="str"/>
      <x:c r="BM263" s="12" t="str"/>
      <x:c r="BN263" s="12" t="str"/>
      <x:c r="BO263" s="12" t="str"/>
      <x:c r="BP263" s="12" t="str"/>
      <x:c r="BQ263" s="12" t="str"/>
    </x:row>
    <x:row r="264">
      <x:c r="A264" s="9" t="str">
        <x:v>ps1-51</x:v>
      </x:c>
      <x:c r="B264" s="9" t="str">
        <x:v>jeopardy-2nd-edition</x:v>
      </x:c>
      <x:c r="C264" s="9" t="str">
        <x:v>PlayStation</x:v>
      </x:c>
      <x:c r="D264" s="9" t="str">
        <x:v>Jeopardy! 2nd Edition</x:v>
      </x:c>
      <x:c r="E264" s="9" t="str"/>
      <x:c r="F264" s="9" t="str">
        <x:v>Artech Studios</x:v>
      </x:c>
      <x:c r="G264" s="9" t="str">
        <x:v>Hasbro Interactive</x:v>
      </x:c>
      <x:c r="H264" s="9" t="n">
        <x:v>2000</x:v>
      </x:c>
      <x:c r="I264" s="9" t="str">
        <x:v>Yes</x:v>
      </x:c>
      <x:c r="J264" s="9" t="str">
        <x:v>No</x:v>
      </x:c>
      <x:c r="K264" s="9" t="str">
        <x:v>No</x:v>
      </x:c>
      <x:c r="L264" s="9" t="str">
        <x:v>No</x:v>
      </x:c>
      <x:c r="M264" s="9" t="str">
        <x:v>Quiz / game show</x:v>
      </x:c>
      <x:c r="N264" s="9" t="str">
        <x:v>Live-action</x:v>
      </x:c>
      <x:c r="O264" s="9" t="n">
        <x:v>4</x:v>
      </x:c>
      <x:c r="P264" s="9" t="str">
        <x:v>Game show / trivia</x:v>
      </x:c>
      <x:c r="Q264" s="9" t="str">
        <x:v>Released</x:v>
      </x:c>
      <x:c r="R264" s="9" t="str">
        <x:v>TV game show</x:v>
      </x:c>
      <x:c r="S264" s="9" t="str">
        <x:v>PC (verify)</x:v>
      </x:c>
      <x:c r="T264" s="9" t="str">
        <x:v>Alex Trebek (filmed clips, verify)</x:v>
      </x:c>
      <x:c r="U264" s="9" t="n">
        <x:v>1</x:v>
      </x:c>
      <x:c r="V264" s="9" t="str">
        <x:v>Yes (memory card, 1 block)</x:v>
      </x:c>
      <x:c r="W264" s="9" t="str">
        <x:v>Standard controller (analog compatible); Multitap (1–3 players); memory card (1 block)</x:v>
      </x:c>
      <x:c r="X264" s="9" t="str">
        <x:v>Med</x:v>
      </x:c>
      <x:c r="Y264" s="9" t="str">
        <x:v>'Think!' music, show branding</x:v>
      </x:c>
      <x:c r="Z264" s="9" t="str">
        <x:v>20–30 min per game</x:v>
      </x:c>
      <x:c r="AA264" s="9" t="str">
        <x:v>The sequel with a fresh question pool and more Trebek.</x:v>
      </x:c>
      <x:c r="AB264" s="9" t="str">
        <x:v>None known</x:v>
      </x:c>
      <x:c r="AC264" s="9" t="str">
        <x:v>Small-window host clips (verify)</x:v>
      </x:c>
      <x:c r="AD264" s="9" t="str">
        <x:v>Selectable question difficulty</x:v>
      </x:c>
      <x:c r="AE264" s="9" t="str">
        <x:v>None; score-based</x:v>
      </x:c>
      <x:c r="AF264" s="9" t="str">
        <x:v>Released late in the PS1's life as Hasbro wound down its game-show line.</x:v>
      </x:c>
      <x:c r="AG264" s="9" t="str">
        <x:v>NA only</x:v>
      </x:c>
      <x:c r="AH264" s="9" t="str">
        <x:v>No</x:v>
      </x:c>
      <x:c r="AI264" s="9" t="str">
        <x:v>Easy</x:v>
      </x:c>
      <x:c r="AJ264" s="9"/>
      <x:c r="AK264" s="9" t="str">
        <x:v>Video content not confirmed.</x:v>
      </x:c>
      <x:c r="AL264" s="10" t="n">
        <x:v>5.62</x:v>
      </x:c>
      <x:c r="AM264" s="10" t="n">
        <x:v>8.04</x:v>
      </x:c>
      <x:c r="AN264" s="10" t="n">
        <x:v>12.35</x:v>
      </x:c>
      <x:c r="AO264" s="9" t="str">
        <x:v>2026-10-21</x:v>
      </x:c>
      <x:c r="AP264" s="11" t="str">
        <x:f>HYPERLINK("https://www.pricecharting.com/game/playstation/jeopardy-2nd-edition","PriceCharting")</x:f>
        <x:v>PriceCharting</x:v>
      </x:c>
      <x:c r="AQ264" s="9"/>
      <x:c r="AR264" s="9"/>
      <x:c r="AS264" s="9"/>
      <x:c r="AT264" s="9"/>
      <x:c r="AU264" s="9"/>
      <x:c r="AV264" s="9"/>
      <x:c r="AW264" s="9"/>
      <x:c r="AX264" s="9"/>
      <x:c r="AY264" s="9"/>
      <x:c r="AZ264" s="9"/>
      <x:c r="BA264" s="11" t="str">
        <x:f>HYPERLINK("https://www.mobygames.com/search/?q=Jeopardy%21+2nd+Edition","MobyGames")</x:f>
        <x:v>MobyGames</x:v>
      </x:c>
      <x:c r="BB264" s="9" t="str">
        <x:v>60%</x:v>
      </x:c>
      <x:c r="BC264" s="9" t="str">
        <x:v>GameRankings, 1 review</x:v>
      </x:c>
      <x:c r="BD264" s="9" t="str">
        <x:f>HYPERLINK("https://web.archive.org/web/20191209015137id_/https://www.gamerankings.com/ps/577138-jeopardy-2nd-edition/","Source")</x:f>
        <x:v>Source</x:v>
      </x:c>
      <x:c r="BE264" s="9"/>
      <x:c r="BF264" s="11" t="str">
        <x:f>HYPERLINK("https://backloggd.com/search/games/Jeopardy%21%202nd%20Edition/","Backloggd")</x:f>
        <x:v>Backloggd</x:v>
      </x:c>
      <x:c r="BG264" s="9"/>
      <x:c r="BH264" s="9"/>
      <x:c r="BI264" s="12" t="str">
        <x:v>No</x:v>
      </x:c>
      <x:c r="BJ264" s="12" t="str"/>
      <x:c r="BK264" s="12" t="str">
        <x:v>No</x:v>
      </x:c>
      <x:c r="BL264" s="12" t="str"/>
      <x:c r="BM264" s="12" t="str"/>
      <x:c r="BN264" s="12" t="str"/>
      <x:c r="BO264" s="12" t="str"/>
      <x:c r="BP264" s="12" t="str"/>
      <x:c r="BQ264" s="12" t="str"/>
    </x:row>
    <x:row r="265">
      <x:c r="A265" s="9" t="str">
        <x:v>ps1-52</x:v>
      </x:c>
      <x:c r="B265" s="9" t="str">
        <x:v>wheel-of-fortune-pc</x:v>
      </x:c>
      <x:c r="C265" s="9" t="str">
        <x:v>PlayStation</x:v>
      </x:c>
      <x:c r="D265" s="9" t="str">
        <x:v>Wheel of Fortune</x:v>
      </x:c>
      <x:c r="E265" s="9" t="str"/>
      <x:c r="F265" s="9" t="str">
        <x:v>Artech Studios</x:v>
      </x:c>
      <x:c r="G265" s="9" t="str">
        <x:v>Hasbro Interactive (NA); Hasbro (EU as Glücksrad/Wheel of Fortune, verify)</x:v>
      </x:c>
      <x:c r="H265" s="9" t="n">
        <x:v>1998</x:v>
      </x:c>
      <x:c r="I265" s="9" t="str">
        <x:v>Yes</x:v>
      </x:c>
      <x:c r="J265" s="9" t="str">
        <x:v>No</x:v>
      </x:c>
      <x:c r="K265" s="9" t="str">
        <x:v>Yes</x:v>
      </x:c>
      <x:c r="L265" s="9" t="str">
        <x:v>No</x:v>
      </x:c>
      <x:c r="M265" s="9" t="str">
        <x:v>Word puzzle / game show</x:v>
      </x:c>
      <x:c r="N265" s="9" t="str">
        <x:v>Live-action</x:v>
      </x:c>
      <x:c r="O265" s="9" t="n">
        <x:v>4</x:v>
      </x:c>
      <x:c r="P265" s="9" t="str">
        <x:v>Game show / trivia</x:v>
      </x:c>
      <x:c r="Q265" s="9" t="str">
        <x:v>Released</x:v>
      </x:c>
      <x:c r="R265" s="9" t="str">
        <x:v>TV game show</x:v>
      </x:c>
      <x:c r="S265" s="9" t="str">
        <x:v>PC (1998)</x:v>
      </x:c>
      <x:c r="T265" s="9" t="str">
        <x:v>Vanna White (filmed clips, verify)</x:v>
      </x:c>
      <x:c r="U265" s="9" t="n">
        <x:v>1</x:v>
      </x:c>
      <x:c r="V265" s="9" t="str">
        <x:v>Yes (memory card, 1 block)</x:v>
      </x:c>
      <x:c r="W265" s="9" t="str">
        <x:v>Standard controller (analog compatible); memory card (1 block)</x:v>
      </x:c>
      <x:c r="X265" s="9" t="str">
        <x:v>Med</x:v>
      </x:c>
      <x:c r="Y265" s="9" t="str">
        <x:v>Show theme and branding</x:v>
      </x:c>
      <x:c r="Z265" s="9" t="str">
        <x:v>20–30 min per game</x:v>
      </x:c>
      <x:c r="AA265" s="9" t="str">
        <x:v>Vanna White turning letters in streamed video on a PlayStation.</x:v>
      </x:c>
      <x:c r="AB265" s="9" t="str">
        <x:v>None known</x:v>
      </x:c>
      <x:c r="AC265" s="9" t="str">
        <x:v>Small-window filmed clips (verify)</x:v>
      </x:c>
      <x:c r="AD265" s="9" t="str">
        <x:v>Easy; CPU opponents can be dumb</x:v>
      </x:c>
      <x:c r="AE265" s="9" t="str">
        <x:v>None; score-based</x:v>
      </x:c>
      <x:c r="AF265" s="9" t="str">
        <x:v>Shipped the same season as the PS1 Jeopardy!.</x:v>
      </x:c>
      <x:c r="AG265" s="9" t="str">
        <x:v>German PAL release as Glücksrad (psxdatacenter/eBay listings)</x:v>
      </x:c>
      <x:c r="AH265" s="9" t="str">
        <x:v>No</x:v>
      </x:c>
      <x:c r="AI265" s="9" t="str">
        <x:v>Easy</x:v>
      </x:c>
      <x:c r="AJ265" s="9"/>
      <x:c r="AK265" s="9" t="str">
        <x:v>Host video presence on PS1 not confirmed.</x:v>
      </x:c>
      <x:c r="AL265" s="10" t="n">
        <x:v>4.19</x:v>
      </x:c>
      <x:c r="AM265" s="10" t="n">
        <x:v>5.85</x:v>
      </x:c>
      <x:c r="AN265" s="10" t="n">
        <x:v>14.25</x:v>
      </x:c>
      <x:c r="AO265" s="9" t="str">
        <x:v>2026-10-21</x:v>
      </x:c>
      <x:c r="AP265" s="11" t="str">
        <x:f>HYPERLINK("https://www.pricecharting.com/game/playstation/wheel-of-fortune","PriceCharting")</x:f>
        <x:v>PriceCharting</x:v>
      </x:c>
      <x:c r="AQ265" s="9"/>
      <x:c r="AR265" s="9"/>
      <x:c r="AS265" s="9"/>
      <x:c r="AT265" s="9"/>
      <x:c r="AU265" s="9"/>
      <x:c r="AV265" s="9"/>
      <x:c r="AW265" s="9"/>
      <x:c r="AX265" s="9"/>
      <x:c r="AY265" s="9"/>
      <x:c r="AZ265" s="9"/>
      <x:c r="BA265" s="11" t="str">
        <x:f>HYPERLINK("https://www.mobygames.com/search/?q=Wheel+of+Fortune","MobyGames")</x:f>
        <x:v>MobyGames</x:v>
      </x:c>
      <x:c r="BB265" s="9" t="str">
        <x:v>74%</x:v>
      </x:c>
      <x:c r="BC265" s="9" t="str">
        <x:v>GameRankings, 5 reviews</x:v>
      </x:c>
      <x:c r="BD265" s="9" t="str">
        <x:f>HYPERLINK("https://web.archive.org/web/20191209011503id_/https://www.gamerankings.com/ps/915225-wheel-of-fortune/","Source")</x:f>
        <x:v>Source</x:v>
      </x:c>
      <x:c r="BE265" s="9"/>
      <x:c r="BF265" s="11" t="str">
        <x:f>HYPERLINK("https://backloggd.com/search/games/Wheel%20of%20Fortune/","Backloggd")</x:f>
        <x:v>Backloggd</x:v>
      </x:c>
      <x:c r="BG265" s="9"/>
      <x:c r="BH265" s="9"/>
      <x:c r="BI265" s="12" t="str">
        <x:v>No</x:v>
      </x:c>
      <x:c r="BJ265" s="12" t="str"/>
      <x:c r="BK265" s="12" t="str">
        <x:v>No</x:v>
      </x:c>
      <x:c r="BL265" s="12" t="str"/>
      <x:c r="BM265" s="12" t="str"/>
      <x:c r="BN265" s="12" t="str"/>
      <x:c r="BO265" s="12" t="str"/>
      <x:c r="BP265" s="12" t="str"/>
      <x:c r="BQ265" s="12" t="str"/>
    </x:row>
    <x:row r="266">
      <x:c r="A266" s="9" t="str">
        <x:v>ps1-53</x:v>
      </x:c>
      <x:c r="B266" s="9" t="str">
        <x:v>wheel-of-fortune-2nd-edition</x:v>
      </x:c>
      <x:c r="C266" s="9" t="str">
        <x:v>PlayStation</x:v>
      </x:c>
      <x:c r="D266" s="9" t="str">
        <x:v>Wheel of Fortune 2nd Edition</x:v>
      </x:c>
      <x:c r="E266" s="9" t="str"/>
      <x:c r="F266" s="9" t="str">
        <x:v>Artech Studios</x:v>
      </x:c>
      <x:c r="G266" s="9" t="str">
        <x:v>Hasbro Interactive</x:v>
      </x:c>
      <x:c r="H266" s="9" t="n">
        <x:v>2000</x:v>
      </x:c>
      <x:c r="I266" s="9" t="str">
        <x:v>Yes</x:v>
      </x:c>
      <x:c r="J266" s="9" t="str">
        <x:v>No</x:v>
      </x:c>
      <x:c r="K266" s="9" t="str">
        <x:v>No</x:v>
      </x:c>
      <x:c r="L266" s="9" t="str">
        <x:v>No</x:v>
      </x:c>
      <x:c r="M266" s="9" t="str">
        <x:v>Word puzzle / game show</x:v>
      </x:c>
      <x:c r="N266" s="9" t="str">
        <x:v>Live-action</x:v>
      </x:c>
      <x:c r="O266" s="9" t="n">
        <x:v>4</x:v>
      </x:c>
      <x:c r="P266" s="9" t="str">
        <x:v>Game show / trivia</x:v>
      </x:c>
      <x:c r="Q266" s="9" t="str">
        <x:v>Released</x:v>
      </x:c>
      <x:c r="R266" s="9" t="str">
        <x:v>TV game show</x:v>
      </x:c>
      <x:c r="S266" s="9" t="str">
        <x:v>PC (verify)</x:v>
      </x:c>
      <x:c r="T266" s="9" t="str">
        <x:v>Vanna White (filmed clips, verify)</x:v>
      </x:c>
      <x:c r="U266" s="9" t="n">
        <x:v>1</x:v>
      </x:c>
      <x:c r="V266" s="9" t="str">
        <x:v>Yes (memory card, 1 block)</x:v>
      </x:c>
      <x:c r="W266" s="9" t="str">
        <x:v>Standard controller (analog compatible); Multitap (1–3 players); memory card (1 block)</x:v>
      </x:c>
      <x:c r="X266" s="9" t="str">
        <x:v>Med</x:v>
      </x:c>
      <x:c r="Y266" s="9" t="str">
        <x:v>Show theme and branding</x:v>
      </x:c>
      <x:c r="Z266" s="9" t="str">
        <x:v>20–30 min per game</x:v>
      </x:c>
      <x:c r="AA266" s="9" t="str">
        <x:v>More puzzles, more Vanna.</x:v>
      </x:c>
      <x:c r="AB266" s="9" t="str">
        <x:v>None known</x:v>
      </x:c>
      <x:c r="AC266" s="9" t="str">
        <x:v>Small-window filmed clips (verify)</x:v>
      </x:c>
      <x:c r="AD266" s="9" t="str">
        <x:v>Easy</x:v>
      </x:c>
      <x:c r="AE266" s="9" t="str">
        <x:v>None; score-based</x:v>
      </x:c>
      <x:c r="AF266" s="9" t="str">
        <x:v>Second and last Hasbro Wheel of Fortune on PS1.</x:v>
      </x:c>
      <x:c r="AG266" s="9" t="str">
        <x:v>NA only</x:v>
      </x:c>
      <x:c r="AH266" s="9" t="str">
        <x:v>No</x:v>
      </x:c>
      <x:c r="AI266" s="9" t="str">
        <x:v>Easy</x:v>
      </x:c>
      <x:c r="AJ266" s="9"/>
      <x:c r="AK266" s="9" t="str">
        <x:v>Video content and year not confirmed.</x:v>
      </x:c>
      <x:c r="AL266" s="10" t="n">
        <x:v>5.16</x:v>
      </x:c>
      <x:c r="AM266" s="10" t="n">
        <x:v>5.2</x:v>
      </x:c>
      <x:c r="AN266" s="10" t="n">
        <x:v>13.47</x:v>
      </x:c>
      <x:c r="AO266" s="9" t="str">
        <x:v>2026-10-21</x:v>
      </x:c>
      <x:c r="AP266" s="11" t="str">
        <x:f>HYPERLINK("https://www.pricecharting.com/game/playstation/wheel-of-fortune-2nd-edition","PriceCharting")</x:f>
        <x:v>PriceCharting</x:v>
      </x:c>
      <x:c r="AQ266" s="9"/>
      <x:c r="AR266" s="9"/>
      <x:c r="AS266" s="9"/>
      <x:c r="AT266" s="9"/>
      <x:c r="AU266" s="9"/>
      <x:c r="AV266" s="9"/>
      <x:c r="AW266" s="9"/>
      <x:c r="AX266" s="9"/>
      <x:c r="AY266" s="9"/>
      <x:c r="AZ266" s="9"/>
      <x:c r="BA266" s="11" t="str">
        <x:f>HYPERLINK("https://www.mobygames.com/search/?q=Wheel+of+Fortune+2nd+Edition","MobyGames")</x:f>
        <x:v>MobyGames</x:v>
      </x:c>
      <x:c r="BB266" s="9" t="str">
        <x:v>70%</x:v>
      </x:c>
      <x:c r="BC266" s="9" t="str">
        <x:v>GameRankings, 1 review</x:v>
      </x:c>
      <x:c r="BD266" s="9" t="str">
        <x:f>HYPERLINK("https://web.archive.org/web/20191209015142id_/https://www.gamerankings.com/ps/577139-wheel-of-fortune-2nd-edition/","Source")</x:f>
        <x:v>Source</x:v>
      </x:c>
      <x:c r="BE266" s="9"/>
      <x:c r="BF266" s="11" t="str">
        <x:f>HYPERLINK("https://backloggd.com/search/games/Wheel%20of%20Fortune%202nd%20Edition/","Backloggd")</x:f>
        <x:v>Backloggd</x:v>
      </x:c>
      <x:c r="BG266" s="9"/>
      <x:c r="BH266" s="9"/>
      <x:c r="BI266" s="12" t="str">
        <x:v>No</x:v>
      </x:c>
      <x:c r="BJ266" s="12" t="str"/>
      <x:c r="BK266" s="12" t="str">
        <x:v>No</x:v>
      </x:c>
      <x:c r="BL266" s="12" t="str"/>
      <x:c r="BM266" s="12" t="str"/>
      <x:c r="BN266" s="12" t="str"/>
      <x:c r="BO266" s="12" t="str"/>
      <x:c r="BP266" s="12" t="str"/>
      <x:c r="BQ266" s="12" t="str"/>
    </x:row>
    <x:row r="267">
      <x:c r="A267" s="9" t="str">
        <x:v>ps1-54</x:v>
      </x:c>
      <x:c r="B267" s="9" t="str">
        <x:v>the-weakest-link</x:v>
      </x:c>
      <x:c r="C267" s="9" t="str">
        <x:v>PlayStation</x:v>
      </x:c>
      <x:c r="D267" s="9" t="str">
        <x:v>The Weakest Link</x:v>
      </x:c>
      <x:c r="E267" s="9" t="str">
        <x:v>Weakest Link</x:v>
      </x:c>
      <x:c r="F267" s="9" t="str">
        <x:v>Traveller's Tales</x:v>
      </x:c>
      <x:c r="G267" s="9" t="str">
        <x:v>Activision (under licence from BBC Multimedia)</x:v>
      </x:c>
      <x:c r="H267" s="9" t="n">
        <x:v>2001</x:v>
      </x:c>
      <x:c r="I267" s="9" t="str">
        <x:v>Yes</x:v>
      </x:c>
      <x:c r="J267" s="9" t="str">
        <x:v>No</x:v>
      </x:c>
      <x:c r="K267" s="9" t="str">
        <x:v>Yes</x:v>
      </x:c>
      <x:c r="L267" s="9" t="str">
        <x:v>No</x:v>
      </x:c>
      <x:c r="M267" s="9" t="str">
        <x:v>Quiz / game show</x:v>
      </x:c>
      <x:c r="N267" s="9" t="str">
        <x:v>Live-action</x:v>
      </x:c>
      <x:c r="O267" s="9" t="n">
        <x:v>5</x:v>
      </x:c>
      <x:c r="P267" s="9" t="str">
        <x:v>Game show / trivia</x:v>
      </x:c>
      <x:c r="Q267" s="9" t="str">
        <x:v>Released</x:v>
      </x:c>
      <x:c r="R267" s="9" t="str">
        <x:v>BBC TV game show</x:v>
      </x:c>
      <x:c r="S267" s="9" t="str">
        <x:v>Windows, PlayStation 2</x:v>
      </x:c>
      <x:c r="T267" s="9" t="str">
        <x:v>Anne Robinson (filmed footage)</x:v>
      </x:c>
      <x:c r="U267" s="9" t="n">
        <x:v>1</x:v>
      </x:c>
      <x:c r="V267" s="9" t="str">
        <x:v>Yes (memory card, 1 block)</x:v>
      </x:c>
      <x:c r="W267" s="9" t="str">
        <x:v>Standard controller (analog compatible); memory card (1 block)</x:v>
      </x:c>
      <x:c r="X267" s="9" t="str">
        <x:v>Med–High</x:v>
      </x:c>
      <x:c r="Y267" s="9" t="str">
        <x:v>BBC show music and Anne Robinson footage</x:v>
      </x:c>
      <x:c r="Z267" s="9" t="str">
        <x:v>20–30 min per game</x:v>
      </x:c>
      <x:c r="AA267" s="9" t="str">
        <x:v>Anne Robinson insults you personally, on video, between every round.</x:v>
      </x:c>
      <x:c r="AB267" s="9" t="str">
        <x:v>None known</x:v>
      </x:c>
      <x:c r="AC267" s="9" t="str">
        <x:v>Filmed Robinson clips throughout play (Wikipedia)</x:v>
      </x:c>
      <x:c r="AD267" s="9" t="str">
        <x:v>Moderate; general-knowledge questions</x:v>
      </x:c>
      <x:c r="AE267" s="9" t="str">
        <x:v>Win/lose; Robinson's 'You are the weakest link, goodbye'</x:v>
      </x:c>
      <x:c r="AF267" s="9" t="str">
        <x:v>Released EU 28 Sep 2001, NA 2 Oct 2001; Metacritic 63, GameRankings 75%.</x:v>
      </x:c>
      <x:c r="AG267" s="9" t="str">
        <x:v>UK/US English versions feature Robinson; other language versions differ (verify)</x:v>
      </x:c>
      <x:c r="AH267" s="9" t="str">
        <x:v>No</x:v>
      </x:c>
      <x:c r="AI267" s="9" t="str">
        <x:v>Easy</x:v>
      </x:c>
      <x:c r="AJ267" s="9"/>
      <x:c r="AK267" s="9" t="str"/>
      <x:c r="AL267" s="10" t="n">
        <x:v>4.58</x:v>
      </x:c>
      <x:c r="AM267" s="10" t="n">
        <x:v>6.65</x:v>
      </x:c>
      <x:c r="AN267" s="10" t="n">
        <x:v>14.61</x:v>
      </x:c>
      <x:c r="AO267" s="9" t="str">
        <x:v>2026-10-21</x:v>
      </x:c>
      <x:c r="AP267" s="11" t="str">
        <x:f>HYPERLINK("https://www.pricecharting.com/game/playstation/weakest-link","PriceCharting")</x:f>
        <x:v>PriceCharting</x:v>
      </x:c>
      <x:c r="AQ267" s="9"/>
      <x:c r="AR267" s="9"/>
      <x:c r="AS267" s="9"/>
      <x:c r="AT267" s="9"/>
      <x:c r="AU267" s="9"/>
      <x:c r="AV267" s="9"/>
      <x:c r="AW267" s="9"/>
      <x:c r="AX267" s="9"/>
      <x:c r="AY267" s="9" t="str">
        <x:v>63%</x:v>
      </x:c>
      <x:c r="AZ267" s="9"/>
      <x:c r="BA267" s="11" t="str">
        <x:f>HYPERLINK("https://www.mobygames.com/search/?q=The+Weakest+Link","MobyGames")</x:f>
        <x:v>MobyGames</x:v>
      </x:c>
      <x:c r="BB267" s="9" t="str">
        <x:v>75%</x:v>
      </x:c>
      <x:c r="BC267" s="9" t="str">
        <x:v>GameRankings, 10 reviews</x:v>
      </x:c>
      <x:c r="BD267" s="9" t="str">
        <x:f>HYPERLINK("https://web.archive.org/web/20191209013118id_/https://www.gamerankings.com/ps/536775-the-weakest-link/","Source")</x:f>
        <x:v>Source</x:v>
      </x:c>
      <x:c r="BE267" s="11" t="str">
        <x:f>HYPERLINK("https://en.wikipedia.org/wiki/The_Weakest_Link_(video_game)","Wikipedia")</x:f>
        <x:v>Wikipedia</x:v>
      </x:c>
      <x:c r="BF267" s="11" t="str">
        <x:f>HYPERLINK("https://backloggd.com/search/games/The%20Weakest%20Link/","Backloggd")</x:f>
        <x:v>Backloggd</x:v>
      </x:c>
      <x:c r="BG267" s="9"/>
      <x:c r="BH267" s="9"/>
      <x:c r="BI267" s="12" t="str">
        <x:v>No</x:v>
      </x:c>
      <x:c r="BJ267" s="12" t="str"/>
      <x:c r="BK267" s="12" t="str">
        <x:v>No</x:v>
      </x:c>
      <x:c r="BL267" s="12" t="str"/>
      <x:c r="BM267" s="12" t="str"/>
      <x:c r="BN267" s="12" t="str"/>
      <x:c r="BO267" s="12" t="str"/>
      <x:c r="BP267" s="12" t="str"/>
      <x:c r="BQ267" s="12" t="str"/>
    </x:row>
    <x:row r="268">
      <x:c r="A268" s="9" t="str">
        <x:v>ps1-55</x:v>
      </x:c>
      <x:c r="B268" s="9" t="str">
        <x:v>who-wants-to-be-a-millionaire</x:v>
      </x:c>
      <x:c r="C268" s="9" t="str">
        <x:v>PlayStation</x:v>
      </x:c>
      <x:c r="D268" s="9" t="str">
        <x:v>Who Wants to Be a Millionaire (UK/EU)</x:v>
      </x:c>
      <x:c r="E268" s="9" t="str">
        <x:v>Who Wants to Be a Millionaire? (Chris Tarrant); also 2nd Edition and Junior; Wer wird Millionär / Qui veut gagner des millions / Chi vuol essere milionario regional versions</x:v>
      </x:c>
      <x:c r="F268" s="9" t="str">
        <x:v>Hothouse Creations</x:v>
      </x:c>
      <x:c r="G268" s="9" t="str">
        <x:v>Eidos Interactive</x:v>
      </x:c>
      <x:c r="H268" s="9" t="n">
        <x:v>2000</x:v>
      </x:c>
      <x:c r="I268" s="9" t="str">
        <x:v>No</x:v>
      </x:c>
      <x:c r="J268" s="9" t="str">
        <x:v>No</x:v>
      </x:c>
      <x:c r="K268" s="9" t="str">
        <x:v>Yes</x:v>
      </x:c>
      <x:c r="L268" s="9" t="str">
        <x:v>No</x:v>
      </x:c>
      <x:c r="M268" s="9" t="str">
        <x:v>Quiz / game show</x:v>
      </x:c>
      <x:c r="N268" s="9" t="str">
        <x:v>Live-action</x:v>
      </x:c>
      <x:c r="O268" s="9" t="n">
        <x:v>4</x:v>
      </x:c>
      <x:c r="P268" s="9" t="str">
        <x:v>Game show / trivia</x:v>
      </x:c>
      <x:c r="Q268" s="9" t="str">
        <x:v>Released</x:v>
      </x:c>
      <x:c r="R268" s="9" t="str">
        <x:v>ITV game show (Celador)</x:v>
      </x:c>
      <x:c r="S268" s="9" t="str">
        <x:v>PC, Game Boy Color, Dreamcast (verify)</x:v>
      </x:c>
      <x:c r="T268" s="9" t="str">
        <x:v>Chris Tarrant (filmed clips, verify)</x:v>
      </x:c>
      <x:c r="U268" s="9" t="n">
        <x:v>1</x:v>
      </x:c>
      <x:c r="V268" s="9" t="str">
        <x:v>Yes (memory card, 1 block)</x:v>
      </x:c>
      <x:c r="W268" s="9" t="str">
        <x:v>Memory card; multi-player via pad passing</x:v>
      </x:c>
      <x:c r="X268" s="9" t="str">
        <x:v>Med–High</x:v>
      </x:c>
      <x:c r="Y268" s="9" t="str">
        <x:v>Show music by Keith &amp; Matthew Strachan; Tarrant footage</x:v>
      </x:c>
      <x:c r="Z268" s="9" t="str">
        <x:v>20–30 min</x:v>
      </x:c>
      <x:c r="AA268" s="9" t="str">
        <x:v>Chris Tarrant on video, pausing dramatically before every answer.</x:v>
      </x:c>
      <x:c r="AB268" s="9" t="str">
        <x:v>None known</x:v>
      </x:c>
      <x:c r="AC268" s="9" t="str">
        <x:v>Filmed host clips (verify)</x:v>
      </x:c>
      <x:c r="AD268" s="9" t="str">
        <x:v>Ladder of 15 questions</x:v>
      </x:c>
      <x:c r="AE268" s="9" t="str">
        <x:v>Win up to £1,000,000</x:v>
      </x:c>
      <x:c r="AF268" s="9" t="str">
        <x:v>Eidos sold localised editions across Europe with each country's host (psxdatacenter lists SLES-02988, 2nd Edition SLES-03583, Junior SLES-03592).</x:v>
      </x:c>
      <x:c r="AG268" s="9" t="str">
        <x:v>UK 1st and 2nd Edition, Junior; German, French, Italian localisations</x:v>
      </x:c>
      <x:c r="AH268" s="9" t="str">
        <x:v>No</x:v>
      </x:c>
      <x:c r="AI268" s="9" t="str">
        <x:v>Import</x:v>
      </x:c>
      <x:c r="AJ268" s="9"/>
      <x:c r="AK268" s="9" t="str">
        <x:v>PAL only; separate key from NA. Tarrant video presence on PS1 not confirmed — verify.</x:v>
      </x:c>
      <x:c r="AL268" s="10" t="n">
        <x:v>2.49</x:v>
      </x:c>
      <x:c r="AM268" s="10" t="n">
        <x:v>3.26</x:v>
      </x:c>
      <x:c r="AN268" s="10" t="n">
        <x:v>9.16</x:v>
      </x:c>
      <x:c r="AO268" s="9" t="str">
        <x:v>2026-10-21</x:v>
      </x:c>
      <x:c r="AP268" s="11" t="str">
        <x:f>HYPERLINK("https://www.pricecharting.com/game/pal-playstation/who-wants-to-be-a-millionaire","PriceCharting")</x:f>
        <x:v>PriceCharting</x:v>
      </x:c>
      <x:c r="AQ268" s="9"/>
      <x:c r="AR268" s="9"/>
      <x:c r="AS268" s="9"/>
      <x:c r="AT268" s="9"/>
      <x:c r="AU268" s="9"/>
      <x:c r="AV268" s="9"/>
      <x:c r="AW268" s="9"/>
      <x:c r="AX268" s="9"/>
      <x:c r="AY268" s="9"/>
      <x:c r="AZ268" s="9"/>
      <x:c r="BA268" s="11" t="str">
        <x:f>HYPERLINK("https://www.mobygames.com/search/?q=Who+Wants+to+Be+a+Millionaire+%28UK%2FEU%29","MobyGames")</x:f>
        <x:v>MobyGames</x:v>
      </x:c>
      <x:c r="BB268" s="9" t="str">
        <x:v>63%</x:v>
      </x:c>
      <x:c r="BC268" s="9" t="str">
        <x:v>GameRankings, 1 review</x:v>
      </x:c>
      <x:c r="BD268" s="9" t="str">
        <x:f>HYPERLINK("https://web.archive.org/web/20191209014336id_/https://www.gamerankings.com/ps/565588-who-wants-to-be-a-millionaire/","Source")</x:f>
        <x:v>Source</x:v>
      </x:c>
      <x:c r="BE268" s="9"/>
      <x:c r="BF268" s="11" t="str">
        <x:f>HYPERLINK("https://backloggd.com/search/games/Who%20Wants%20to%20Be%20a%20Millionaire%20%28UK/EU%29/","Backloggd")</x:f>
        <x:v>Backloggd</x:v>
      </x:c>
      <x:c r="BG268" s="9"/>
      <x:c r="BH268" s="9"/>
      <x:c r="BI268" s="12" t="str">
        <x:v>No</x:v>
      </x:c>
      <x:c r="BJ268" s="12" t="str"/>
      <x:c r="BK268" s="12" t="str">
        <x:v>No</x:v>
      </x:c>
      <x:c r="BL268" s="12" t="str"/>
      <x:c r="BM268" s="12" t="str"/>
      <x:c r="BN268" s="12" t="str"/>
      <x:c r="BO268" s="12" t="str"/>
      <x:c r="BP268" s="12" t="str"/>
      <x:c r="BQ268" s="12" t="str"/>
    </x:row>
    <x:row r="269">
      <x:c r="A269" s="9" t="str">
        <x:v>ps1-56</x:v>
      </x:c>
      <x:c r="B269" s="9" t="str">
        <x:v>tomorrow-never-dies</x:v>
      </x:c>
      <x:c r="C269" s="9" t="str">
        <x:v>PlayStation</x:v>
      </x:c>
      <x:c r="D269" s="9" t="str">
        <x:v>Tomorrow Never Dies</x:v>
      </x:c>
      <x:c r="E269" s="9" t="str">
        <x:v>007: Tomorrow Never Dies</x:v>
      </x:c>
      <x:c r="F269" s="9" t="str">
        <x:v>Black Ops Entertainment</x:v>
      </x:c>
      <x:c r="G269" s="9" t="str">
        <x:v>Electronic Arts / MGM Interactive</x:v>
      </x:c>
      <x:c r="H269" s="9" t="n">
        <x:v>1999</x:v>
      </x:c>
      <x:c r="I269" s="9" t="str">
        <x:v>Yes</x:v>
      </x:c>
      <x:c r="J269" s="9" t="str">
        <x:v>No</x:v>
      </x:c>
      <x:c r="K269" s="9" t="str">
        <x:v>Yes</x:v>
      </x:c>
      <x:c r="L269" s="9" t="str">
        <x:v>No</x:v>
      </x:c>
      <x:c r="M269" s="9" t="str">
        <x:v>Third-person shooter</x:v>
      </x:c>
      <x:c r="N269" s="9" t="str">
        <x:v>Live-action</x:v>
      </x:c>
      <x:c r="O269" s="9" t="n">
        <x:v>2</x:v>
      </x:c>
      <x:c r="P269" s="9" t="str">
        <x:v>Cutscenes only</x:v>
      </x:c>
      <x:c r="Q269" s="9" t="str">
        <x:v>Released</x:v>
      </x:c>
      <x:c r="R269" s="9" t="str">
        <x:v>1997 James Bond film</x:v>
      </x:c>
      <x:c r="S269" s="9" t="str">
        <x:v>—</x:v>
      </x:c>
      <x:c r="T269" s="9" t="str">
        <x:v>Pierce Brosnan, Michelle Yeoh, Jonathan Pryce (film clips)</x:v>
      </x:c>
      <x:c r="U269" s="9" t="n">
        <x:v>1</x:v>
      </x:c>
      <x:c r="V269" s="9" t="str">
        <x:v>Yes</x:v>
      </x:c>
      <x:c r="W269" s="9" t="str">
        <x:v>Memory card; DualShock</x:v>
      </x:c>
      <x:c r="X269" s="9" t="str">
        <x:v>HIGH</x:v>
      </x:c>
      <x:c r="Y269" s="9" t="str">
        <x:v>MGM film footage and James Bond theme</x:v>
      </x:c>
      <x:c r="Z269" s="9" t="str">
        <x:v>4–6 hr</x:v>
      </x:c>
      <x:c r="AA269" s="9" t="str">
        <x:v>Clips from the actual Bond film stitched between missions.</x:v>
      </x:c>
      <x:c r="AB269" s="9" t="str">
        <x:v>None known</x:v>
      </x:c>
      <x:c r="AC269" s="9" t="str">
        <x:v>Film clips between missions (verify length)</x:v>
      </x:c>
      <x:c r="AD269" s="9" t="str">
        <x:v>Moderate; awkward controls</x:v>
      </x:c>
      <x:c r="AE269" s="9" t="str">
        <x:v>Single ending</x:v>
      </x:c>
      <x:c r="AF269" s="9" t="str">
        <x:v>Released two years after the film; the game adds a pre-credits ski level not in the movie.</x:v>
      </x:c>
      <x:c r="AG269" s="9" t="str">
        <x:v>NA, PAL</x:v>
      </x:c>
      <x:c r="AH269" s="9" t="str">
        <x:v>No</x:v>
      </x:c>
      <x:c r="AI269" s="9" t="str">
        <x:v>Easy</x:v>
      </x:c>
      <x:c r="AJ269" s="9"/>
      <x:c r="AK269" s="9" t="str">
        <x:v>Kept as licensed film footage title per scope.</x:v>
      </x:c>
      <x:c r="AL269" s="10" t="n">
        <x:v>5.95</x:v>
      </x:c>
      <x:c r="AM269" s="10" t="n">
        <x:v>11.23</x:v>
      </x:c>
      <x:c r="AN269" s="10" t="n">
        <x:v>46.75</x:v>
      </x:c>
      <x:c r="AO269" s="9" t="str">
        <x:v>2026-10-21</x:v>
      </x:c>
      <x:c r="AP269" s="11" t="str">
        <x:f>HYPERLINK("https://www.pricecharting.com/game/playstation/007-tomorrow-never-dies","PriceCharting")</x:f>
        <x:v>PriceCharting</x:v>
      </x:c>
      <x:c r="AQ269" s="9"/>
      <x:c r="AR269" s="9"/>
      <x:c r="AS269" s="9"/>
      <x:c r="AT269" s="9"/>
      <x:c r="AU269" s="9"/>
      <x:c r="AV269" s="9"/>
      <x:c r="AW269" s="9"/>
      <x:c r="AX269" s="9"/>
      <x:c r="AY269" s="9" t="str">
        <x:v>60%</x:v>
      </x:c>
      <x:c r="AZ269" s="9" t="str">
        <x:v>3.5</x:v>
      </x:c>
      <x:c r="BA269" s="11" t="str">
        <x:f>HYPERLINK("https://www.mobygames.com/search/?q=Tomorrow+Never+Dies","MobyGames")</x:f>
        <x:v>MobyGames</x:v>
      </x:c>
      <x:c r="BB269" s="9" t="str">
        <x:v>62%</x:v>
      </x:c>
      <x:c r="BC269" s="9" t="str">
        <x:v>GameRankings, 28 reviews</x:v>
      </x:c>
      <x:c r="BD269" s="9" t="str">
        <x:f>HYPERLINK("https://web.archive.org/web/20191209014846id_/https://www.gamerankings.com/ps/199053-007-tomorrow-never-dies/","Source")</x:f>
        <x:v>Source</x:v>
      </x:c>
      <x:c r="BE269" s="11" t="str">
        <x:f>HYPERLINK("https://en.wikipedia.org/wiki/Tomorrow_Never_Dies_(video_game)","Wikipedia")</x:f>
        <x:v>Wikipedia</x:v>
      </x:c>
      <x:c r="BF269" s="11" t="str">
        <x:f>HYPERLINK("https://backloggd.com/search/games/Tomorrow%20Never%20Dies/","Backloggd")</x:f>
        <x:v>Backloggd</x:v>
      </x:c>
      <x:c r="BG269" s="9"/>
      <x:c r="BH269" s="9"/>
      <x:c r="BI269" s="12" t="str">
        <x:v>No</x:v>
      </x:c>
      <x:c r="BJ269" s="12" t="str"/>
      <x:c r="BK269" s="12" t="str">
        <x:v>No</x:v>
      </x:c>
      <x:c r="BL269" s="12" t="str"/>
      <x:c r="BM269" s="12" t="str"/>
      <x:c r="BN269" s="12" t="str"/>
      <x:c r="BO269" s="12" t="str"/>
      <x:c r="BP269" s="12" t="str"/>
      <x:c r="BQ269" s="12" t="str"/>
    </x:row>
    <x:row r="270">
      <x:c r="A270" s="9" t="str">
        <x:v>ps1-57</x:v>
      </x:c>
      <x:c r="B270" s="9" t="str">
        <x:v>star-wars-episode-i-the-phantom-menace</x:v>
      </x:c>
      <x:c r="C270" s="9" t="str">
        <x:v>PlayStation</x:v>
      </x:c>
      <x:c r="D270" s="9" t="str">
        <x:v>Star Wars: Episode I – The Phantom Menace</x:v>
      </x:c>
      <x:c r="E270" s="9" t="str"/>
      <x:c r="F270" s="9" t="str">
        <x:v>Big Ape Productions</x:v>
      </x:c>
      <x:c r="G270" s="9" t="str">
        <x:v>LucasArts</x:v>
      </x:c>
      <x:c r="H270" s="9" t="n">
        <x:v>1999</x:v>
      </x:c>
      <x:c r="I270" s="9" t="str">
        <x:v>Yes</x:v>
      </x:c>
      <x:c r="J270" s="9" t="str">
        <x:v>No</x:v>
      </x:c>
      <x:c r="K270" s="9" t="str">
        <x:v>Yes</x:v>
      </x:c>
      <x:c r="L270" s="9" t="str">
        <x:v>No</x:v>
      </x:c>
      <x:c r="M270" s="9" t="str">
        <x:v>Action-adventure</x:v>
      </x:c>
      <x:c r="N270" s="9" t="str">
        <x:v>Live-action + CG</x:v>
      </x:c>
      <x:c r="O270" s="9" t="n">
        <x:v>2</x:v>
      </x:c>
      <x:c r="P270" s="9" t="str">
        <x:v>Cutscenes only</x:v>
      </x:c>
      <x:c r="Q270" s="9" t="str">
        <x:v>Released</x:v>
      </x:c>
      <x:c r="R270" s="9" t="str">
        <x:v>1999 Star Wars film</x:v>
      </x:c>
      <x:c r="S270" s="9" t="str">
        <x:v>PC</x:v>
      </x:c>
      <x:c r="T270" s="9" t="str">
        <x:v>Film voice/footage (verify which clips)</x:v>
      </x:c>
      <x:c r="U270" s="9" t="n">
        <x:v>1</x:v>
      </x:c>
      <x:c r="V270" s="9" t="str">
        <x:v>Yes</x:v>
      </x:c>
      <x:c r="W270" s="9" t="str">
        <x:v>Memory card</x:v>
      </x:c>
      <x:c r="X270" s="9" t="str">
        <x:v>HIGH</x:v>
      </x:c>
      <x:c r="Y270" s="9" t="str">
        <x:v>John Williams score; Lucasfilm footage</x:v>
      </x:c>
      <x:c r="Z270" s="9" t="str">
        <x:v>6–8 hr</x:v>
      </x:c>
      <x:c r="AA270" s="9" t="str">
        <x:v>The movie retold on PS1, with Qui-Gon able to shoot anyone in Mos Espa.</x:v>
      </x:c>
      <x:c r="AB270" s="9" t="str">
        <x:v>None known</x:v>
      </x:c>
      <x:c r="AC270" s="9" t="str">
        <x:v>Cutscenes; mix of film-derived and engine scenes (verify)</x:v>
      </x:c>
      <x:c r="AD270" s="9" t="str">
        <x:v>Moderate; fiddly platforming</x:v>
      </x:c>
      <x:c r="AE270" s="9" t="str">
        <x:v>Single ending</x:v>
      </x:c>
      <x:c r="AF270" s="9" t="str">
        <x:v>Infamous for letting you kill non-hostile civilians with the lightsaber.</x:v>
      </x:c>
      <x:c r="AG270" s="9" t="str">
        <x:v>NA, PAL</x:v>
      </x:c>
      <x:c r="AH270" s="9" t="str">
        <x:v>No</x:v>
      </x:c>
      <x:c r="AI270" s="9" t="str">
        <x:v>Easy</x:v>
      </x:c>
      <x:c r="AJ270" s="9"/>
      <x:c r="AK270" s="9" t="str">
        <x:v>Extent of actual film footage not confirmed — verify before keeping; drop if cutscenes are engine-only.</x:v>
      </x:c>
      <x:c r="AL270" s="10" t="n">
        <x:v>7.53</x:v>
      </x:c>
      <x:c r="AM270" s="10" t="n">
        <x:v>13.05</x:v>
      </x:c>
      <x:c r="AN270" s="10" t="n">
        <x:v>46</x:v>
      </x:c>
      <x:c r="AO270" s="9" t="str">
        <x:v>2026-10-21</x:v>
      </x:c>
      <x:c r="AP270" s="11" t="str">
        <x:f>HYPERLINK("https://www.pricecharting.com/game/playstation/star-wars-phantom-menace","PriceCharting")</x:f>
        <x:v>PriceCharting</x:v>
      </x:c>
      <x:c r="AQ270" s="9"/>
      <x:c r="AR270" s="9"/>
      <x:c r="AS270" s="9"/>
      <x:c r="AT270" s="9"/>
      <x:c r="AU270" s="9"/>
      <x:c r="AV270" s="9"/>
      <x:c r="AW270" s="9"/>
      <x:c r="AX270" s="9"/>
      <x:c r="AY270" s="9" t="str">
        <x:v>64%</x:v>
      </x:c>
      <x:c r="AZ270" s="9" t="str">
        <x:v>3.7</x:v>
      </x:c>
      <x:c r="BA270" s="11" t="str">
        <x:f>HYPERLINK("https://www.mobygames.com/search/?q=Star+Wars%3A+Episode+I+%E2%80%93+The+Phantom+Menace","MobyGames")</x:f>
        <x:v>MobyGames</x:v>
      </x:c>
      <x:c r="BB270" s="9" t="str">
        <x:v>54%</x:v>
      </x:c>
      <x:c r="BC270" s="9" t="str">
        <x:v>GameRankings, 19 reviews</x:v>
      </x:c>
      <x:c r="BD270" s="9" t="str">
        <x:f>HYPERLINK("https://web.archive.org/web/20191209011644id_/https://www.gamerankings.com/ps/198783-star-wars-episode-i-the-phantom-menace/","Source")</x:f>
        <x:v>Source</x:v>
      </x:c>
      <x:c r="BE270" s="11" t="str">
        <x:f>HYPERLINK("https://en.wikipedia.org/wiki/Star_Wars:_Episode_I_%E2%80%93_The_Phantom_Menace_(video_game)","Wikipedia")</x:f>
        <x:v>Wikipedia</x:v>
      </x:c>
      <x:c r="BF270" s="11" t="str">
        <x:f>HYPERLINK("https://backloggd.com/search/games/Star%20Wars%3A%20Episode%20I%20%E2%80%93%20The%20Phantom%20Menace/","Backloggd")</x:f>
        <x:v>Backloggd</x:v>
      </x:c>
      <x:c r="BG270" s="9"/>
      <x:c r="BH270" s="9"/>
      <x:c r="BI270" s="12" t="str">
        <x:v>No</x:v>
      </x:c>
      <x:c r="BJ270" s="12" t="str"/>
      <x:c r="BK270" s="12" t="str">
        <x:v>No</x:v>
      </x:c>
      <x:c r="BL270" s="12" t="str"/>
      <x:c r="BM270" s="12" t="str"/>
      <x:c r="BN270" s="12" t="str"/>
      <x:c r="BO270" s="12" t="str"/>
      <x:c r="BP270" s="12" t="str"/>
      <x:c r="BQ270" s="12" t="str"/>
    </x:row>
    <x:row r="271">
      <x:c r="A271" s="9" t="str">
        <x:v>ps1-58</x:v>
      </x:c>
      <x:c r="B271" s="9" t="str">
        <x:v>final-fantasy-vii</x:v>
      </x:c>
      <x:c r="C271" s="9" t="str">
        <x:v>PlayStation</x:v>
      </x:c>
      <x:c r="D271" s="9" t="str">
        <x:v>Final Fantasy VII</x:v>
      </x:c>
      <x:c r="E271" s="9" t="str"/>
      <x:c r="F271" s="9" t="str">
        <x:v>Square</x:v>
      </x:c>
      <x:c r="G271" s="9" t="str">
        <x:v>Square (JP), Sony Computer Entertainment (NA/EU)</x:v>
      </x:c>
      <x:c r="H271" s="9" t="n">
        <x:v>1997</x:v>
      </x:c>
      <x:c r="I271" s="9" t="str">
        <x:v>Yes</x:v>
      </x:c>
      <x:c r="J271" s="9" t="str">
        <x:v>Yes</x:v>
      </x:c>
      <x:c r="K271" s="9" t="str">
        <x:v>Yes</x:v>
      </x:c>
      <x:c r="L271" s="9" t="str">
        <x:v>No</x:v>
      </x:c>
      <x:c r="M271" s="9" t="str">
        <x:v>RPG</x:v>
      </x:c>
      <x:c r="N271" s="9" t="str">
        <x:v>Pre-rendered CG</x:v>
      </x:c>
      <x:c r="O271" s="9" t="n">
        <x:v>3</x:v>
      </x:c>
      <x:c r="P271" s="9" t="str">
        <x:v>Pre-rendered CG</x:v>
      </x:c>
      <x:c r="Q271" s="9" t="str">
        <x:v>Released</x:v>
      </x:c>
      <x:c r="R271" s="9" t="str">
        <x:v>Original production</x:v>
      </x:c>
      <x:c r="S271" s="9" t="str">
        <x:v>PC (1998), PS4, Switch, Xbox One, mobile</x:v>
      </x:c>
      <x:c r="T271" s="9" t="str">
        <x:v>—</x:v>
      </x:c>
      <x:c r="U271" s="9" t="n">
        <x:v>3</x:v>
      </x:c>
      <x:c r="V271" s="9" t="str">
        <x:v>Yes</x:v>
      </x:c>
      <x:c r="W271" s="9" t="str">
        <x:v>Memory card (several blocks); DualShock</x:v>
      </x:c>
      <x:c r="X271" s="9" t="str">
        <x:v>Low–Med</x:v>
      </x:c>
      <x:c r="Y271" s="9" t="str">
        <x:v>Publisher soundtrack claims possible</x:v>
      </x:c>
      <x:c r="Z271" s="9" t="str">
        <x:v>40–50 hr</x:v>
      </x:c>
      <x:c r="AA271" s="9" t="str">
        <x:v>The CG movies that sold the PlayStation to a generation.</x:v>
      </x:c>
      <x:c r="AB271" s="9" t="str">
        <x:v>None known</x:v>
      </x:c>
      <x:c r="AC271" s="9" t="str">
        <x:v>Pre-rendered CG movies, some with real-time characters composited over streamed backgrounds</x:v>
      </x:c>
      <x:c r="AD271" s="9" t="str">
        <x:v>Moderate</x:v>
      </x:c>
      <x:c r="AE271" s="9" t="str">
        <x:v>Single ending</x:v>
      </x:c>
      <x:c r="AF271" s="9" t="str">
        <x:v>Square's FMV integration (movies under polygon characters) was the game's showpiece in 1997 marketing.</x:v>
      </x:c>
      <x:c r="AG271" s="9" t="str">
        <x:v>JP, NA, PAL, JP International edition, Greatest Hits</x:v>
      </x:c>
      <x:c r="AH271" s="9" t="str">
        <x:v>Yes (PS4, Switch, Xbox, PC, mobile; PlayStation Classic)</x:v>
      </x:c>
      <x:c r="AI271" s="9" t="str">
        <x:v>Easy</x:v>
      </x:c>
      <x:c r="AJ271" s="9"/>
      <x:c r="AK271" s="9" t="str"/>
      <x:c r="AL271" s="10" t="n">
        <x:v>21.06</x:v>
      </x:c>
      <x:c r="AM271" s="10" t="n">
        <x:v>55.12</x:v>
      </x:c>
      <x:c r="AN271" s="10" t="n">
        <x:v>1403.51</x:v>
      </x:c>
      <x:c r="AO271" s="9" t="str">
        <x:v>2026-10-21</x:v>
      </x:c>
      <x:c r="AP271" s="11" t="str">
        <x:f>HYPERLINK("https://www.pricecharting.com/game/playstation/final-fantasy-vii","PriceCharting")</x:f>
        <x:v>PriceCharting</x:v>
      </x:c>
      <x:c r="AQ271" s="9"/>
      <x:c r="AR271" s="9"/>
      <x:c r="AS271" s="9"/>
      <x:c r="AT271" s="9"/>
      <x:c r="AU271" s="9"/>
      <x:c r="AV271" s="9"/>
      <x:c r="AW271" s="9"/>
      <x:c r="AX271" s="9"/>
      <x:c r="AY271" s="9"/>
      <x:c r="AZ271" s="9"/>
      <x:c r="BA271" s="11" t="str">
        <x:f>HYPERLINK("https://www.mobygames.com/search/?q=Final+Fantasy+VII","MobyGames")</x:f>
        <x:v>MobyGames</x:v>
      </x:c>
      <x:c r="BB271" s="9" t="str">
        <x:v>92%</x:v>
      </x:c>
      <x:c r="BC271" s="9" t="str">
        <x:v>GameRankings, 31 reviews</x:v>
      </x:c>
      <x:c r="BD271" s="9" t="str">
        <x:f>HYPERLINK("https://web.archive.org/web/20191209013542id_/https://www.gamerankings.com/ps/197341-final-fantasy-vii/","Source")</x:f>
        <x:v>Source</x:v>
      </x:c>
      <x:c r="BE271" s="11" t="str">
        <x:f>HYPERLINK("https://en.wikipedia.org/wiki/Final_Fantasy_VII","Wikipedia")</x:f>
        <x:v>Wikipedia</x:v>
      </x:c>
      <x:c r="BF271" s="11" t="str">
        <x:f>HYPERLINK("https://backloggd.com/search/games/Final%20Fantasy%20VII/","Backloggd")</x:f>
        <x:v>Backloggd</x:v>
      </x:c>
      <x:c r="BG271" s="9"/>
      <x:c r="BH271" s="9"/>
      <x:c r="BI271" s="12" t="str">
        <x:v>No</x:v>
      </x:c>
      <x:c r="BJ271" s="12" t="str"/>
      <x:c r="BK271" s="12" t="str">
        <x:v>No</x:v>
      </x:c>
      <x:c r="BL271" s="12" t="str"/>
      <x:c r="BM271" s="12" t="str"/>
      <x:c r="BN271" s="12" t="str"/>
      <x:c r="BO271" s="12" t="str"/>
      <x:c r="BP271" s="12" t="str"/>
      <x:c r="BQ271" s="12" t="str"/>
    </x:row>
    <x:row r="272">
      <x:c r="A272" s="9" t="str">
        <x:v>ps1-59</x:v>
      </x:c>
      <x:c r="B272" s="9" t="str">
        <x:v>final-fantasy-viii</x:v>
      </x:c>
      <x:c r="C272" s="9" t="str">
        <x:v>PlayStation</x:v>
      </x:c>
      <x:c r="D272" s="9" t="str">
        <x:v>Final Fantasy VIII</x:v>
      </x:c>
      <x:c r="E272" s="9" t="str"/>
      <x:c r="F272" s="9" t="str">
        <x:v>Square</x:v>
      </x:c>
      <x:c r="G272" s="9" t="str">
        <x:v>Square (JP), Square Electronic Arts (NA), SCEE (EU)</x:v>
      </x:c>
      <x:c r="H272" s="9" t="n">
        <x:v>1999</x:v>
      </x:c>
      <x:c r="I272" s="9" t="str">
        <x:v>Yes</x:v>
      </x:c>
      <x:c r="J272" s="9" t="str">
        <x:v>Yes</x:v>
      </x:c>
      <x:c r="K272" s="9" t="str">
        <x:v>Yes</x:v>
      </x:c>
      <x:c r="L272" s="9" t="str">
        <x:v>No</x:v>
      </x:c>
      <x:c r="M272" s="9" t="str">
        <x:v>RPG</x:v>
      </x:c>
      <x:c r="N272" s="9" t="str">
        <x:v>Pre-rendered CG</x:v>
      </x:c>
      <x:c r="O272" s="9" t="n">
        <x:v>3</x:v>
      </x:c>
      <x:c r="P272" s="9" t="str">
        <x:v>Pre-rendered CG</x:v>
      </x:c>
      <x:c r="Q272" s="9" t="str">
        <x:v>Released</x:v>
      </x:c>
      <x:c r="R272" s="9" t="str">
        <x:v>Original production</x:v>
      </x:c>
      <x:c r="S272" s="9" t="str">
        <x:v>PC (2000), Remastered on PS4/Switch/Xbox/PC</x:v>
      </x:c>
      <x:c r="T272" s="9" t="str">
        <x:v>—</x:v>
      </x:c>
      <x:c r="U272" s="9" t="n">
        <x:v>4</x:v>
      </x:c>
      <x:c r="V272" s="9" t="str">
        <x:v>Yes</x:v>
      </x:c>
      <x:c r="W272" s="9" t="str">
        <x:v>Memory card (several blocks); DualShock</x:v>
      </x:c>
      <x:c r="X272" s="9" t="str">
        <x:v>Med</x:v>
      </x:c>
      <x:c r="Y272" s="9" t="str">
        <x:v>'Eyes on Me' sung by Faye Wong</x:v>
      </x:c>
      <x:c r="Z272" s="9" t="str">
        <x:v>40–50 hr</x:v>
      </x:c>
      <x:c r="AA272" s="9" t="str">
        <x:v>The ballroom dance and 'Eyes on Me' — Square's most cinematic PS1 FMV.</x:v>
      </x:c>
      <x:c r="AB272" s="9" t="str">
        <x:v>None known</x:v>
      </x:c>
      <x:c r="AC272" s="9" t="str">
        <x:v>Extensive pre-rendered CG, often with live polygon characters over streaming video</x:v>
      </x:c>
      <x:c r="AD272" s="9" t="str">
        <x:v>Moderate</x:v>
      </x:c>
      <x:c r="AE272" s="9" t="str">
        <x:v>Single ending</x:v>
      </x:c>
      <x:c r="AF272" s="9" t="str">
        <x:v>Its theme song 'Eyes on Me' was a hit single in Japan.</x:v>
      </x:c>
      <x:c r="AG272" s="9" t="str">
        <x:v>JP, NA, PAL, Greatest Hits</x:v>
      </x:c>
      <x:c r="AH272" s="9" t="str">
        <x:v>Yes (Final Fantasy VIII Remastered, PS4/Switch/Xbox/PC)</x:v>
      </x:c>
      <x:c r="AI272" s="9" t="str">
        <x:v>Easy</x:v>
      </x:c>
      <x:c r="AJ272" s="9"/>
      <x:c r="AK272" s="9" t="str"/>
      <x:c r="AL272" s="10" t="n">
        <x:v>14.23</x:v>
      </x:c>
      <x:c r="AM272" s="10" t="n">
        <x:v>28.99</x:v>
      </x:c>
      <x:c r="AN272" s="10" t="n">
        <x:v>144.26</x:v>
      </x:c>
      <x:c r="AO272" s="9" t="str">
        <x:v>2026-10-21</x:v>
      </x:c>
      <x:c r="AP272" s="11" t="str">
        <x:f>HYPERLINK("https://www.pricecharting.com/game/playstation/final-fantasy-viii","PriceCharting")</x:f>
        <x:v>PriceCharting</x:v>
      </x:c>
      <x:c r="AQ272" s="9"/>
      <x:c r="AR272" s="9"/>
      <x:c r="AS272" s="9"/>
      <x:c r="AT272" s="9"/>
      <x:c r="AU272" s="9"/>
      <x:c r="AV272" s="9"/>
      <x:c r="AW272" s="9"/>
      <x:c r="AX272" s="9"/>
      <x:c r="AY272" s="9"/>
      <x:c r="AZ272" s="9"/>
      <x:c r="BA272" s="11" t="str">
        <x:f>HYPERLINK("https://www.mobygames.com/search/?q=Final+Fantasy+VIII","MobyGames")</x:f>
        <x:v>MobyGames</x:v>
      </x:c>
      <x:c r="BB272" s="9" t="str">
        <x:v>89%</x:v>
      </x:c>
      <x:c r="BC272" s="9" t="str">
        <x:v>GameRankings, 36 reviews</x:v>
      </x:c>
      <x:c r="BD272" s="9" t="str">
        <x:f>HYPERLINK("https://web.archive.org/web/20191209013612id_/https://www.gamerankings.com/ps/197343-final-fantasy-viii/","Source")</x:f>
        <x:v>Source</x:v>
      </x:c>
      <x:c r="BE272" s="11" t="str">
        <x:f>HYPERLINK("https://en.wikipedia.org/wiki/Final_Fantasy_VIII","Wikipedia")</x:f>
        <x:v>Wikipedia</x:v>
      </x:c>
      <x:c r="BF272" s="11" t="str">
        <x:f>HYPERLINK("https://backloggd.com/search/games/Final%20Fantasy%20VIII/","Backloggd")</x:f>
        <x:v>Backloggd</x:v>
      </x:c>
      <x:c r="BG272" s="9"/>
      <x:c r="BH272" s="9"/>
      <x:c r="BI272" s="12" t="str">
        <x:v>No</x:v>
      </x:c>
      <x:c r="BJ272" s="12" t="str"/>
      <x:c r="BK272" s="12" t="str">
        <x:v>No</x:v>
      </x:c>
      <x:c r="BL272" s="12" t="str"/>
      <x:c r="BM272" s="12" t="str"/>
      <x:c r="BN272" s="12" t="str"/>
      <x:c r="BO272" s="12" t="str"/>
      <x:c r="BP272" s="12" t="str"/>
      <x:c r="BQ272" s="12" t="str"/>
    </x:row>
    <x:row r="273">
      <x:c r="A273" s="9" t="str">
        <x:v>ps1-60</x:v>
      </x:c>
      <x:c r="B273" s="9" t="str">
        <x:v>final-fantasy-ix</x:v>
      </x:c>
      <x:c r="C273" s="9" t="str">
        <x:v>PlayStation</x:v>
      </x:c>
      <x:c r="D273" s="9" t="str">
        <x:v>Final Fantasy IX</x:v>
      </x:c>
      <x:c r="E273" s="9" t="str"/>
      <x:c r="F273" s="9" t="str">
        <x:v>Square</x:v>
      </x:c>
      <x:c r="G273" s="9" t="str">
        <x:v>Square (JP), Square Electronic Arts (NA), SCEE (EU)</x:v>
      </x:c>
      <x:c r="H273" s="9" t="n">
        <x:v>2000</x:v>
      </x:c>
      <x:c r="I273" s="9" t="str">
        <x:v>Yes</x:v>
      </x:c>
      <x:c r="J273" s="9" t="str">
        <x:v>Yes</x:v>
      </x:c>
      <x:c r="K273" s="9" t="str">
        <x:v>Yes</x:v>
      </x:c>
      <x:c r="L273" s="9" t="str">
        <x:v>No</x:v>
      </x:c>
      <x:c r="M273" s="9" t="str">
        <x:v>RPG</x:v>
      </x:c>
      <x:c r="N273" s="9" t="str">
        <x:v>Pre-rendered CG</x:v>
      </x:c>
      <x:c r="O273" s="9" t="n">
        <x:v>3</x:v>
      </x:c>
      <x:c r="P273" s="9" t="str">
        <x:v>Pre-rendered CG</x:v>
      </x:c>
      <x:c r="Q273" s="9" t="str">
        <x:v>Released</x:v>
      </x:c>
      <x:c r="R273" s="9" t="str">
        <x:v>Original production</x:v>
      </x:c>
      <x:c r="S273" s="9" t="str">
        <x:v>PC, PS4, Switch, Xbox One, mobile</x:v>
      </x:c>
      <x:c r="T273" s="9" t="str">
        <x:v>—</x:v>
      </x:c>
      <x:c r="U273" s="9" t="n">
        <x:v>4</x:v>
      </x:c>
      <x:c r="V273" s="9" t="str">
        <x:v>Yes</x:v>
      </x:c>
      <x:c r="W273" s="9" t="str">
        <x:v>Memory card (several blocks); DualShock</x:v>
      </x:c>
      <x:c r="X273" s="9" t="str">
        <x:v>Med</x:v>
      </x:c>
      <x:c r="Y273" s="9" t="str">
        <x:v>'Melodies of Life' (Emiko Shiratori)</x:v>
      </x:c>
      <x:c r="Z273" s="9" t="str">
        <x:v>40–50 hr</x:v>
      </x:c>
      <x:c r="AA273" s="9" t="str">
        <x:v>The last and most lavish of Square's PS1 CG movies.</x:v>
      </x:c>
      <x:c r="AB273" s="9" t="str">
        <x:v>None known</x:v>
      </x:c>
      <x:c r="AC273" s="9" t="str">
        <x:v>Pre-rendered CG movies integrated with gameplay</x:v>
      </x:c>
      <x:c r="AD273" s="9" t="str">
        <x:v>Moderate</x:v>
      </x:c>
      <x:c r="AE273" s="9" t="str">
        <x:v>Single ending</x:v>
      </x:c>
      <x:c r="AF273" s="9" t="str">
        <x:v>Released after FFX was already announced; considered the series' farewell to the PS1.</x:v>
      </x:c>
      <x:c r="AG273" s="9" t="str">
        <x:v>JP, NA, PAL, Greatest Hits</x:v>
      </x:c>
      <x:c r="AH273" s="9" t="str">
        <x:v>Yes (PS4, Switch, Xbox, PC, mobile)</x:v>
      </x:c>
      <x:c r="AI273" s="9" t="str">
        <x:v>Easy</x:v>
      </x:c>
      <x:c r="AJ273" s="9"/>
      <x:c r="AK273" s="9" t="str"/>
      <x:c r="AL273" s="10" t="n">
        <x:v>17.95</x:v>
      </x:c>
      <x:c r="AM273" s="10" t="n">
        <x:v>30.99</x:v>
      </x:c>
      <x:c r="AN273" s="10" t="n">
        <x:v>167.05</x:v>
      </x:c>
      <x:c r="AO273" s="9" t="str">
        <x:v>2026-10-21</x:v>
      </x:c>
      <x:c r="AP273" s="11" t="str">
        <x:f>HYPERLINK("https://www.pricecharting.com/game/playstation/final-fantasy-ix","PriceCharting")</x:f>
        <x:v>PriceCharting</x:v>
      </x:c>
      <x:c r="AQ273" s="9"/>
      <x:c r="AR273" s="9"/>
      <x:c r="AS273" s="9"/>
      <x:c r="AT273" s="9"/>
      <x:c r="AU273" s="9"/>
      <x:c r="AV273" s="9"/>
      <x:c r="AW273" s="9"/>
      <x:c r="AX273" s="9"/>
      <x:c r="AY273" s="9" t="str">
        <x:v>90%</x:v>
      </x:c>
      <x:c r="AZ273" s="9" t="str">
        <x:v>4.2</x:v>
      </x:c>
      <x:c r="BA273" s="11" t="str">
        <x:f>HYPERLINK("https://www.mobygames.com/search/?q=Final+Fantasy+IX","MobyGames")</x:f>
        <x:v>MobyGames</x:v>
      </x:c>
      <x:c r="BB273" s="9" t="str">
        <x:v>93%</x:v>
      </x:c>
      <x:c r="BC273" s="9" t="str">
        <x:v>GameRankings, 44 reviews</x:v>
      </x:c>
      <x:c r="BD273" s="9" t="str">
        <x:f>HYPERLINK("https://web.archive.org/web/20191209014637id_/https://www.gamerankings.com/ps/197338-final-fantasy-ix/","Source")</x:f>
        <x:v>Source</x:v>
      </x:c>
      <x:c r="BE273" s="11" t="str">
        <x:f>HYPERLINK("https://en.wikipedia.org/wiki/Final_Fantasy_IX","Wikipedia")</x:f>
        <x:v>Wikipedia</x:v>
      </x:c>
      <x:c r="BF273" s="11" t="str">
        <x:f>HYPERLINK("https://backloggd.com/search/games/Final%20Fantasy%20IX/","Backloggd")</x:f>
        <x:v>Backloggd</x:v>
      </x:c>
      <x:c r="BG273" s="9"/>
      <x:c r="BH273" s="9"/>
      <x:c r="BI273" s="12" t="str">
        <x:v>No</x:v>
      </x:c>
      <x:c r="BJ273" s="12" t="str"/>
      <x:c r="BK273" s="12" t="str">
        <x:v>No</x:v>
      </x:c>
      <x:c r="BL273" s="12" t="str"/>
      <x:c r="BM273" s="12" t="str"/>
      <x:c r="BN273" s="12" t="str"/>
      <x:c r="BO273" s="12" t="str"/>
      <x:c r="BP273" s="12" t="str"/>
      <x:c r="BQ273" s="12" t="str"/>
    </x:row>
    <x:row r="274">
      <x:c r="A274" s="9" t="str">
        <x:v>ps1-61</x:v>
      </x:c>
      <x:c r="B274" s="9" t="str">
        <x:v>parasite-eve</x:v>
      </x:c>
      <x:c r="C274" s="9" t="str">
        <x:v>PlayStation</x:v>
      </x:c>
      <x:c r="D274" s="9" t="str">
        <x:v>Parasite Eve</x:v>
      </x:c>
      <x:c r="E274" s="9" t="str"/>
      <x:c r="F274" s="9" t="str">
        <x:v>Square</x:v>
      </x:c>
      <x:c r="G274" s="9" t="str">
        <x:v>Square (JP), Square Electronic Arts (NA)</x:v>
      </x:c>
      <x:c r="H274" s="9" t="n">
        <x:v>1998</x:v>
      </x:c>
      <x:c r="I274" s="9" t="str">
        <x:v>Yes</x:v>
      </x:c>
      <x:c r="J274" s="9" t="str">
        <x:v>Yes</x:v>
      </x:c>
      <x:c r="K274" s="9" t="str">
        <x:v>No</x:v>
      </x:c>
      <x:c r="L274" s="9" t="str">
        <x:v>No</x:v>
      </x:c>
      <x:c r="M274" s="9" t="str">
        <x:v>Action RPG / survival horror</x:v>
      </x:c>
      <x:c r="N274" s="9" t="str">
        <x:v>Pre-rendered CG</x:v>
      </x:c>
      <x:c r="O274" s="9" t="n">
        <x:v>3</x:v>
      </x:c>
      <x:c r="P274" s="9" t="str">
        <x:v>Pre-rendered CG</x:v>
      </x:c>
      <x:c r="Q274" s="9" t="str">
        <x:v>Released</x:v>
      </x:c>
      <x:c r="R274" s="9" t="str">
        <x:v>Hideaki Sena's novel Parasite Eve</x:v>
      </x:c>
      <x:c r="S274" s="9" t="str">
        <x:v>—</x:v>
      </x:c>
      <x:c r="T274" s="9" t="str">
        <x:v>Aya Brea (character)</x:v>
      </x:c>
      <x:c r="U274" s="9" t="n">
        <x:v>2</x:v>
      </x:c>
      <x:c r="V274" s="9" t="str">
        <x:v>Yes</x:v>
      </x:c>
      <x:c r="W274" s="9" t="str">
        <x:v>Memory card (several blocks); DualShock</x:v>
      </x:c>
      <x:c r="X274" s="9" t="str">
        <x:v>Low–Med</x:v>
      </x:c>
      <x:c r="Y274" s="9" t="str">
        <x:v>Publisher soundtrack claims possible</x:v>
      </x:c>
      <x:c r="Z274" s="9" t="str">
        <x:v>10–12 hr</x:v>
      </x:c>
      <x:c r="AA274" s="9" t="str">
        <x:v>Square's 'cinematic RPG', sold on its CG movie of an opera house bursting into flame.</x:v>
      </x:c>
      <x:c r="AB274" s="9" t="str">
        <x:v>None known</x:v>
      </x:c>
      <x:c r="AC274" s="9" t="str">
        <x:v>Pre-rendered CG cutscenes</x:v>
      </x:c>
      <x:c r="AD274" s="9" t="str">
        <x:v>Moderate</x:v>
      </x:c>
      <x:c r="AE274" s="9" t="str">
        <x:v>Ending plus EX Game / Chrysler Building bonus</x:v>
      </x:c>
      <x:c r="AF274" s="9" t="str">
        <x:v>Never released in Europe.</x:v>
      </x:c>
      <x:c r="AG274" s="9" t="str">
        <x:v>JP, NA</x:v>
      </x:c>
      <x:c r="AH274" s="9" t="str">
        <x:v>Yes (PSone Classics on PS3/PSP/Vita, NA/JP)</x:v>
      </x:c>
      <x:c r="AI274" s="9" t="str">
        <x:v>Easy</x:v>
      </x:c>
      <x:c r="AJ274" s="9"/>
      <x:c r="AK274" s="9" t="str"/>
      <x:c r="AL274" s="10" t="n">
        <x:v>62.22</x:v>
      </x:c>
      <x:c r="AM274" s="10" t="n">
        <x:v>145.45</x:v>
      </x:c>
      <x:c r="AN274" s="10" t="n">
        <x:v>399.99</x:v>
      </x:c>
      <x:c r="AO274" s="9" t="str">
        <x:v>2026-10-21</x:v>
      </x:c>
      <x:c r="AP274" s="11" t="str">
        <x:f>HYPERLINK("https://www.pricecharting.com/game/playstation/parasite-eve","PriceCharting")</x:f>
        <x:v>PriceCharting</x:v>
      </x:c>
      <x:c r="AQ274" s="9"/>
      <x:c r="AR274" s="9"/>
      <x:c r="AS274" s="9"/>
      <x:c r="AT274" s="9"/>
      <x:c r="AU274" s="9"/>
      <x:c r="AV274" s="9"/>
      <x:c r="AW274" s="9"/>
      <x:c r="AX274" s="9"/>
      <x:c r="AY274" s="9"/>
      <x:c r="AZ274" s="9"/>
      <x:c r="BA274" s="11" t="str">
        <x:f>HYPERLINK("https://www.mobygames.com/search/?q=Parasite+Eve","MobyGames")</x:f>
        <x:v>MobyGames</x:v>
      </x:c>
      <x:c r="BB274" s="9" t="str">
        <x:v>77%</x:v>
      </x:c>
      <x:c r="BC274" s="9" t="str">
        <x:v>GameRankings, 25 reviews</x:v>
      </x:c>
      <x:c r="BD274" s="9" t="str">
        <x:f>HYPERLINK("https://web.archive.org/web/20191209012953id_/https://www.gamerankings.com/ps/198265-parasite-eve/","Source")</x:f>
        <x:v>Source</x:v>
      </x:c>
      <x:c r="BE274" s="11" t="str">
        <x:f>HYPERLINK("https://en.wikipedia.org/wiki/Parasite_Eve_(video_game)","Wikipedia")</x:f>
        <x:v>Wikipedia</x:v>
      </x:c>
      <x:c r="BF274" s="11" t="str">
        <x:f>HYPERLINK("https://backloggd.com/search/games/Parasite%20Eve/","Backloggd")</x:f>
        <x:v>Backloggd</x:v>
      </x:c>
      <x:c r="BG274" s="9"/>
      <x:c r="BH274" s="9"/>
      <x:c r="BI274" s="12" t="str">
        <x:v>No</x:v>
      </x:c>
      <x:c r="BJ274" s="12" t="str"/>
      <x:c r="BK274" s="12" t="str">
        <x:v>No</x:v>
      </x:c>
      <x:c r="BL274" s="12" t="str"/>
      <x:c r="BM274" s="12" t="str"/>
      <x:c r="BN274" s="12" t="str"/>
      <x:c r="BO274" s="12" t="str"/>
      <x:c r="BP274" s="12" t="str"/>
      <x:c r="BQ274" s="12" t="str"/>
    </x:row>
    <x:row r="275">
      <x:c r="A275" s="9" t="str">
        <x:v>ps1-62</x:v>
      </x:c>
      <x:c r="B275" s="9" t="str">
        <x:v>the-legend-of-dragoon</x:v>
      </x:c>
      <x:c r="C275" s="9" t="str">
        <x:v>PlayStation</x:v>
      </x:c>
      <x:c r="D275" s="9" t="str">
        <x:v>The Legend of Dragoon</x:v>
      </x:c>
      <x:c r="E275" s="9" t="str"/>
      <x:c r="F275" s="9" t="str">
        <x:v>SCE Japan Studio</x:v>
      </x:c>
      <x:c r="G275" s="9" t="str">
        <x:v>Sony Computer Entertainment</x:v>
      </x:c>
      <x:c r="H275" s="9" t="n">
        <x:v>1999</x:v>
      </x:c>
      <x:c r="I275" s="9" t="str">
        <x:v>Yes</x:v>
      </x:c>
      <x:c r="J275" s="9" t="str">
        <x:v>Yes</x:v>
      </x:c>
      <x:c r="K275" s="9" t="str">
        <x:v>Yes</x:v>
      </x:c>
      <x:c r="L275" s="9" t="str">
        <x:v>No</x:v>
      </x:c>
      <x:c r="M275" s="9" t="str">
        <x:v>RPG</x:v>
      </x:c>
      <x:c r="N275" s="9" t="str">
        <x:v>Pre-rendered CG</x:v>
      </x:c>
      <x:c r="O275" s="9" t="n">
        <x:v>3</x:v>
      </x:c>
      <x:c r="P275" s="9" t="str">
        <x:v>Pre-rendered CG</x:v>
      </x:c>
      <x:c r="Q275" s="9" t="str">
        <x:v>Released</x:v>
      </x:c>
      <x:c r="R275" s="9" t="str">
        <x:v>Original production</x:v>
      </x:c>
      <x:c r="S275" s="9" t="str"/>
      <x:c r="T275" s="9" t="str">
        <x:v>—</x:v>
      </x:c>
      <x:c r="U275" s="9" t="n">
        <x:v>4</x:v>
      </x:c>
      <x:c r="V275" s="9" t="str">
        <x:v>Yes</x:v>
      </x:c>
      <x:c r="W275" s="9" t="str">
        <x:v>Memory card (several blocks); DualShock</x:v>
      </x:c>
      <x:c r="X275" s="9" t="str">
        <x:v>Low–Med</x:v>
      </x:c>
      <x:c r="Y275" s="9" t="str">
        <x:v>Publisher soundtrack claims possible</x:v>
      </x:c>
      <x:c r="Z275" s="9" t="str">
        <x:v>50–60 hr</x:v>
      </x:c>
      <x:c r="AA275" s="9" t="str">
        <x:v>Sony's own big-budget answer to FF7, with CG movies across four discs.</x:v>
      </x:c>
      <x:c r="AB275" s="9" t="str">
        <x:v>None known</x:v>
      </x:c>
      <x:c r="AC275" s="9" t="str">
        <x:v>Pre-rendered CG movies</x:v>
      </x:c>
      <x:c r="AD275" s="9" t="str">
        <x:v>Moderate</x:v>
      </x:c>
      <x:c r="AE275" s="9" t="str">
        <x:v>Single ending</x:v>
      </x:c>
      <x:c r="AF275" s="9" t="str">
        <x:v>JP Dec 1999, NA Jun 2000, EU Jan 2001; reportedly took over 100 staff and three years.</x:v>
      </x:c>
      <x:c r="AG275" s="9" t="str">
        <x:v>JP, NA, PAL</x:v>
      </x:c>
      <x:c r="AH275" s="9" t="str">
        <x:v>Yes (PS4/PS5 via PlayStation Plus Premium)</x:v>
      </x:c>
      <x:c r="AI275" s="9" t="str">
        <x:v>Easy</x:v>
      </x:c>
      <x:c r="AJ275" s="9"/>
      <x:c r="AK275" s="9" t="str"/>
      <x:c r="AL275" s="10" t="n">
        <x:v>24.98</x:v>
      </x:c>
      <x:c r="AM275" s="10" t="n">
        <x:v>47.98</x:v>
      </x:c>
      <x:c r="AN275" s="10" t="n">
        <x:v>122.5</x:v>
      </x:c>
      <x:c r="AO275" s="9" t="str">
        <x:v>2026-10-21</x:v>
      </x:c>
      <x:c r="AP275" s="11" t="str">
        <x:f>HYPERLINK("https://www.pricecharting.com/game/playstation/legend-of-dragoon","PriceCharting")</x:f>
        <x:v>PriceCharting</x:v>
      </x:c>
      <x:c r="AQ275" s="9"/>
      <x:c r="AR275" s="9"/>
      <x:c r="AS275" s="9"/>
      <x:c r="AT275" s="9"/>
      <x:c r="AU275" s="9"/>
      <x:c r="AV275" s="9"/>
      <x:c r="AW275" s="9"/>
      <x:c r="AX275" s="9"/>
      <x:c r="AY275" s="9"/>
      <x:c r="AZ275" s="9"/>
      <x:c r="BA275" s="11" t="str">
        <x:f>HYPERLINK("https://www.mobygames.com/search/?q=The+Legend+of+Dragoon","MobyGames")</x:f>
        <x:v>MobyGames</x:v>
      </x:c>
      <x:c r="BB275" s="9" t="str">
        <x:v>77%</x:v>
      </x:c>
      <x:c r="BC275" s="9" t="str">
        <x:v>GameRankings, 26 reviews</x:v>
      </x:c>
      <x:c r="BD275" s="9" t="str">
        <x:f>HYPERLINK("https://web.archive.org/web/20191209013712id_/https://www.gamerankings.com/ps/197765-the-legend-of-dragoon/","Source")</x:f>
        <x:v>Source</x:v>
      </x:c>
      <x:c r="BE275" s="11" t="str">
        <x:f>HYPERLINK("https://en.wikipedia.org/wiki/The_Legend_of_Dragoon","Wikipedia")</x:f>
        <x:v>Wikipedia</x:v>
      </x:c>
      <x:c r="BF275" s="11" t="str">
        <x:f>HYPERLINK("https://backloggd.com/search/games/The%20Legend%20of%20Dragoon/","Backloggd")</x:f>
        <x:v>Backloggd</x:v>
      </x:c>
      <x:c r="BG275" s="9"/>
      <x:c r="BH275" s="9"/>
      <x:c r="BI275" s="12" t="str">
        <x:v>No</x:v>
      </x:c>
      <x:c r="BJ275" s="12" t="str"/>
      <x:c r="BK275" s="12" t="str">
        <x:v>No</x:v>
      </x:c>
      <x:c r="BL275" s="12" t="str"/>
      <x:c r="BM275" s="12" t="str"/>
      <x:c r="BN275" s="12" t="str"/>
      <x:c r="BO275" s="12" t="str"/>
      <x:c r="BP275" s="12" t="str"/>
      <x:c r="BQ275" s="12" t="str"/>
    </x:row>
    <x:row r="276">
      <x:c r="A276" s="9" t="str">
        <x:v>ps1-63</x:v>
      </x:c>
      <x:c r="B276" s="9" t="str">
        <x:v>koudelka</x:v>
      </x:c>
      <x:c r="C276" s="9" t="str">
        <x:v>PlayStation</x:v>
      </x:c>
      <x:c r="D276" s="9" t="str">
        <x:v>Koudelka</x:v>
      </x:c>
      <x:c r="E276" s="9" t="str"/>
      <x:c r="F276" s="9" t="str">
        <x:v>Sacnoth</x:v>
      </x:c>
      <x:c r="G276" s="9" t="str">
        <x:v>SNK (JP), Infogrames (NA/EU)</x:v>
      </x:c>
      <x:c r="H276" s="9" t="n">
        <x:v>1999</x:v>
      </x:c>
      <x:c r="I276" s="9" t="str">
        <x:v>Yes</x:v>
      </x:c>
      <x:c r="J276" s="9" t="str">
        <x:v>Yes</x:v>
      </x:c>
      <x:c r="K276" s="9" t="str">
        <x:v>Yes</x:v>
      </x:c>
      <x:c r="L276" s="9" t="str">
        <x:v>No</x:v>
      </x:c>
      <x:c r="M276" s="9" t="str">
        <x:v>RPG / survival horror</x:v>
      </x:c>
      <x:c r="N276" s="9" t="str">
        <x:v>Pre-rendered CG</x:v>
      </x:c>
      <x:c r="O276" s="9" t="n">
        <x:v>3</x:v>
      </x:c>
      <x:c r="P276" s="9" t="str">
        <x:v>Pre-rendered CG</x:v>
      </x:c>
      <x:c r="Q276" s="9" t="str">
        <x:v>Released</x:v>
      </x:c>
      <x:c r="R276" s="9" t="str">
        <x:v>Original production</x:v>
      </x:c>
      <x:c r="S276" s="9" t="str"/>
      <x:c r="T276" s="9" t="str">
        <x:v>—</x:v>
      </x:c>
      <x:c r="U276" s="9" t="n">
        <x:v>4</x:v>
      </x:c>
      <x:c r="V276" s="9" t="str">
        <x:v>Yes</x:v>
      </x:c>
      <x:c r="W276" s="9" t="str">
        <x:v>Memory card (several blocks); DualShock</x:v>
      </x:c>
      <x:c r="X276" s="9" t="str">
        <x:v>Low–Med</x:v>
      </x:c>
      <x:c r="Y276" s="9" t="str">
        <x:v>Publisher soundtrack claims possible</x:v>
      </x:c>
      <x:c r="Z276" s="9" t="str">
        <x:v>12–15 hr</x:v>
      </x:c>
      <x:c r="AA276" s="9" t="str">
        <x:v>Motion-captured, voice-acted CG cutscenes in a gothic Welsh monastery.</x:v>
      </x:c>
      <x:c r="AB276" s="9" t="str">
        <x:v>None known</x:v>
      </x:c>
      <x:c r="AC276" s="9" t="str">
        <x:v>Motion-captured pre-rendered CG cutscenes</x:v>
      </x:c>
      <x:c r="AD276" s="9" t="str">
        <x:v>Moderate</x:v>
      </x:c>
      <x:c r="AE276" s="9" t="str">
        <x:v>Multiple endings (two normal, one secret)</x:v>
      </x:c>
      <x:c r="AF276" s="9" t="str">
        <x:v>Precursor to the Shadow Hearts series; cutscenes used motion capture.</x:v>
      </x:c>
      <x:c r="AG276" s="9" t="str">
        <x:v>JP, NA, PAL</x:v>
      </x:c>
      <x:c r="AH276" s="9" t="str">
        <x:v>No</x:v>
      </x:c>
      <x:c r="AI276" s="9" t="str">
        <x:v>Expensive</x:v>
      </x:c>
      <x:c r="AJ276" s="9"/>
      <x:c r="AK276" s="9" t="str"/>
      <x:c r="AL276" s="10" t="n">
        <x:v>239.73</x:v>
      </x:c>
      <x:c r="AM276" s="10" t="n">
        <x:v>427.87</x:v>
      </x:c>
      <x:c r="AN276" s="10" t="n">
        <x:v>506.89</x:v>
      </x:c>
      <x:c r="AO276" s="9" t="str">
        <x:v>2026-10-21</x:v>
      </x:c>
      <x:c r="AP276" s="11" t="str">
        <x:f>HYPERLINK("https://www.pricecharting.com/game/playstation/koudelka","PriceCharting")</x:f>
        <x:v>PriceCharting</x:v>
      </x:c>
      <x:c r="AQ276" s="9"/>
      <x:c r="AR276" s="9"/>
      <x:c r="AS276" s="9"/>
      <x:c r="AT276" s="9"/>
      <x:c r="AU276" s="9"/>
      <x:c r="AV276" s="9"/>
      <x:c r="AW276" s="9"/>
      <x:c r="AX276" s="9"/>
      <x:c r="AY276" s="9"/>
      <x:c r="AZ276" s="9"/>
      <x:c r="BA276" s="11" t="str">
        <x:f>HYPERLINK("https://www.mobygames.com/search/?q=Koudelka","MobyGames")</x:f>
        <x:v>MobyGames</x:v>
      </x:c>
      <x:c r="BB276" s="9" t="str">
        <x:v>60%</x:v>
      </x:c>
      <x:c r="BC276" s="9" t="str">
        <x:v>GameRankings, 26 reviews</x:v>
      </x:c>
      <x:c r="BD276" s="9" t="str">
        <x:f>HYPERLINK("https://web.archive.org/web/20191209015725id_/https://www.gamerankings.com/ps/197752-koudelka/","Source")</x:f>
        <x:v>Source</x:v>
      </x:c>
      <x:c r="BE276" s="11" t="str">
        <x:f>HYPERLINK("https://en.wikipedia.org/wiki/Koudelka_(video_game)","Wikipedia")</x:f>
        <x:v>Wikipedia</x:v>
      </x:c>
      <x:c r="BF276" s="11" t="str">
        <x:f>HYPERLINK("https://backloggd.com/search/games/Koudelka/","Backloggd")</x:f>
        <x:v>Backloggd</x:v>
      </x:c>
      <x:c r="BG276" s="9"/>
      <x:c r="BH276" s="9"/>
      <x:c r="BI276" s="12" t="str">
        <x:v>No</x:v>
      </x:c>
      <x:c r="BJ276" s="12" t="str"/>
      <x:c r="BK276" s="12" t="str">
        <x:v>No</x:v>
      </x:c>
      <x:c r="BL276" s="12" t="str"/>
      <x:c r="BM276" s="12" t="str"/>
      <x:c r="BN276" s="12" t="str"/>
      <x:c r="BO276" s="12" t="str"/>
      <x:c r="BP276" s="12" t="str"/>
      <x:c r="BQ276" s="12" t="str"/>
    </x:row>
    <x:row r="277">
      <x:c r="A277" s="9" t="str">
        <x:v>ps1-64</x:v>
      </x:c>
      <x:c r="B277" s="9" t="str">
        <x:v>galerians</x:v>
      </x:c>
      <x:c r="C277" s="9" t="str">
        <x:v>PlayStation</x:v>
      </x:c>
      <x:c r="D277" s="9" t="str">
        <x:v>Galerians</x:v>
      </x:c>
      <x:c r="E277" s="9" t="str"/>
      <x:c r="F277" s="9" t="str">
        <x:v>Polygon Magic</x:v>
      </x:c>
      <x:c r="G277" s="9" t="str">
        <x:v>ASCII Entertainment (JP), Crave Entertainment (NA/EU)</x:v>
      </x:c>
      <x:c r="H277" s="9" t="n">
        <x:v>1999</x:v>
      </x:c>
      <x:c r="I277" s="9" t="str">
        <x:v>Yes</x:v>
      </x:c>
      <x:c r="J277" s="9" t="str">
        <x:v>Yes</x:v>
      </x:c>
      <x:c r="K277" s="9" t="str">
        <x:v>Yes</x:v>
      </x:c>
      <x:c r="L277" s="9" t="str">
        <x:v>No</x:v>
      </x:c>
      <x:c r="M277" s="9" t="str">
        <x:v>Survival horror</x:v>
      </x:c>
      <x:c r="N277" s="9" t="str">
        <x:v>Pre-rendered CG</x:v>
      </x:c>
      <x:c r="O277" s="9" t="n">
        <x:v>3</x:v>
      </x:c>
      <x:c r="P277" s="9" t="str">
        <x:v>Pre-rendered CG</x:v>
      </x:c>
      <x:c r="Q277" s="9" t="str">
        <x:v>Released</x:v>
      </x:c>
      <x:c r="R277" s="9" t="str">
        <x:v>Original production</x:v>
      </x:c>
      <x:c r="S277" s="9" t="str"/>
      <x:c r="T277" s="9" t="str">
        <x:v>—</x:v>
      </x:c>
      <x:c r="U277" s="9" t="n">
        <x:v>3</x:v>
      </x:c>
      <x:c r="V277" s="9" t="str">
        <x:v>Yes</x:v>
      </x:c>
      <x:c r="W277" s="9" t="str">
        <x:v>Memory card (several blocks); DualShock</x:v>
      </x:c>
      <x:c r="X277" s="9" t="str">
        <x:v>Low</x:v>
      </x:c>
      <x:c r="Y277" s="9" t="str"/>
      <x:c r="Z277" s="9" t="str">
        <x:v>6–8 hr</x:v>
      </x:c>
      <x:c r="AA277" s="9" t="str">
        <x:v>Psychic teenager, drug syringes and disturbing CG cutscenes across three discs.</x:v>
      </x:c>
      <x:c r="AB277" s="9" t="str">
        <x:v>None known</x:v>
      </x:c>
      <x:c r="AC277" s="9" t="str">
        <x:v>Frequent pre-rendered CG cutscenes</x:v>
      </x:c>
      <x:c r="AD277" s="9" t="str">
        <x:v>Moderate</x:v>
      </x:c>
      <x:c r="AE277" s="9" t="str">
        <x:v>Single ending</x:v>
      </x:c>
      <x:c r="AF277" s="9" t="str">
        <x:v>Followed by the PS2 sequel Galerians: Ash.</x:v>
      </x:c>
      <x:c r="AG277" s="9" t="str">
        <x:v>JP, NA, PAL</x:v>
      </x:c>
      <x:c r="AH277" s="9" t="str">
        <x:v>No</x:v>
      </x:c>
      <x:c r="AI277" s="9" t="str">
        <x:v>Easy</x:v>
      </x:c>
      <x:c r="AJ277" s="9"/>
      <x:c r="AK277" s="9" t="str"/>
      <x:c r="AL277" s="10" t="n">
        <x:v>59.86</x:v>
      </x:c>
      <x:c r="AM277" s="10" t="n">
        <x:v>177.35</x:v>
      </x:c>
      <x:c r="AN277" s="10" t="n">
        <x:v>276.33</x:v>
      </x:c>
      <x:c r="AO277" s="9" t="str">
        <x:v>2026-10-21</x:v>
      </x:c>
      <x:c r="AP277" s="11" t="str">
        <x:f>HYPERLINK("https://www.pricecharting.com/game/playstation/galerians","PriceCharting")</x:f>
        <x:v>PriceCharting</x:v>
      </x:c>
      <x:c r="AQ277" s="9"/>
      <x:c r="AR277" s="9"/>
      <x:c r="AS277" s="9"/>
      <x:c r="AT277" s="9"/>
      <x:c r="AU277" s="9"/>
      <x:c r="AV277" s="9"/>
      <x:c r="AW277" s="9"/>
      <x:c r="AX277" s="9"/>
      <x:c r="AY277" s="9" t="str">
        <x:v>72%</x:v>
      </x:c>
      <x:c r="AZ277" s="9" t="str">
        <x:v>3.8</x:v>
      </x:c>
      <x:c r="BA277" s="11" t="str">
        <x:f>HYPERLINK("https://www.mobygames.com/search/?q=Galerians","MobyGames")</x:f>
        <x:v>MobyGames</x:v>
      </x:c>
      <x:c r="BB277" s="9" t="str">
        <x:v>74%</x:v>
      </x:c>
      <x:c r="BC277" s="9" t="str">
        <x:v>average of 10 reviews on Wikipedia (Allgame, CNG, EGM, EPD, Fam, GI, GSpy, IGN, NGen, OPM)</x:v>
      </x:c>
      <x:c r="BD277" s="9" t="str">
        <x:f>HYPERLINK("https://en.wikipedia.org/wiki/Galerians","Source")</x:f>
        <x:v>Source</x:v>
      </x:c>
      <x:c r="BE277" s="11" t="str">
        <x:f>HYPERLINK("https://en.wikipedia.org/wiki/Galerians","Wikipedia")</x:f>
        <x:v>Wikipedia</x:v>
      </x:c>
      <x:c r="BF277" s="11" t="str">
        <x:f>HYPERLINK("https://backloggd.com/search/games/Galerians/","Backloggd")</x:f>
        <x:v>Backloggd</x:v>
      </x:c>
      <x:c r="BG277" s="9"/>
      <x:c r="BH277" s="9"/>
      <x:c r="BI277" s="12" t="str">
        <x:v>No</x:v>
      </x:c>
      <x:c r="BJ277" s="12" t="str"/>
      <x:c r="BK277" s="12" t="str">
        <x:v>No</x:v>
      </x:c>
      <x:c r="BL277" s="12" t="str"/>
      <x:c r="BM277" s="12" t="str"/>
      <x:c r="BN277" s="12" t="str"/>
      <x:c r="BO277" s="12" t="str"/>
      <x:c r="BP277" s="12" t="str"/>
      <x:c r="BQ277" s="12" t="str"/>
    </x:row>
    <x:row r="278">
      <x:c r="A278" s="9" t="str">
        <x:v>ps1-65</x:v>
      </x:c>
      <x:c r="B278" s="9" t="str">
        <x:v>gakkou-no-kowai-uwasa-hanako-san-ga-kita</x:v>
      </x:c>
      <x:c r="C278" s="9" t="str">
        <x:v>PlayStation</x:v>
      </x:c>
      <x:c r="D278" s="9" t="str">
        <x:v>Gakkou no Kowai Uwasa: Hanako-san ga Kita!!</x:v>
      </x:c>
      <x:c r="E278" s="9" t="str">
        <x:v>学校のコワイうわさ 花子さんがきた!!</x:v>
      </x:c>
      <x:c r="F278" s="9" t="str">
        <x:v>Capcom</x:v>
      </x:c>
      <x:c r="G278" s="9" t="str">
        <x:v>Capcom</x:v>
      </x:c>
      <x:c r="H278" s="9" t="n">
        <x:v>1995</x:v>
      </x:c>
      <x:c r="I278" s="9" t="str">
        <x:v>No</x:v>
      </x:c>
      <x:c r="J278" s="9" t="str">
        <x:v>Yes</x:v>
      </x:c>
      <x:c r="K278" s="9" t="str">
        <x:v>No</x:v>
      </x:c>
      <x:c r="L278" s="9" t="str">
        <x:v>No</x:v>
      </x:c>
      <x:c r="M278" s="9" t="str">
        <x:v>Interactive horror anthology</x:v>
      </x:c>
      <x:c r="N278" s="9" t="str">
        <x:v>Animated</x:v>
      </x:c>
      <x:c r="O278" s="9" t="n">
        <x:v>10</x:v>
      </x:c>
      <x:c r="P278" s="9" t="str">
        <x:v>Interactive movie</x:v>
      </x:c>
      <x:c r="Q278" s="9" t="str">
        <x:v>Released</x:v>
      </x:c>
      <x:c r="R278" s="9" t="str">
        <x:v>Fuji TV 'Ponkikki' segment Hanako-san ga Kita!! (picture-book-style animated shorts based on the Gakkou no Kowai Uwasa books)</x:v>
      </x:c>
      <x:c r="S278" s="9" t="str">
        <x:v>Sega Saturn</x:v>
      </x:c>
      <x:c r="T278" s="9" t="str">
        <x:v>—</x:v>
      </x:c>
      <x:c r="U278" s="9" t="n">
        <x:v>1</x:v>
      </x:c>
      <x:c r="V278" s="9" t="str">
        <x:v>Unknown — verify</x:v>
      </x:c>
      <x:c r="W278" s="9" t="str">
        <x:v>Memory card (blocks: verify)</x:v>
      </x:c>
      <x:c r="X278" s="9" t="str">
        <x:v>Med</x:v>
      </x:c>
      <x:c r="Y278" s="9" t="str">
        <x:v>TV-series animation and voice track owned by Fuji TV / Pony Canyon</x:v>
      </x:c>
      <x:c r="Z278" s="9" t="str">
        <x:v>1–2 hr</x:v>
      </x:c>
      <x:c r="AA278" s="9" t="str">
        <x:v>Capcom turning a children's TV ghost-story show into a choose-your-scare video game is exactly as odd as it sounds.</x:v>
      </x:c>
      <x:c r="AB278" s="9" t="str">
        <x:v>None known</x:v>
      </x:c>
      <x:c r="AC278" s="9" t="str">
        <x:v>Full-screen streamed animation of the TV shorts (quality verify)</x:v>
      </x:c>
      <x:c r="AD278" s="9" t="str">
        <x:v>Easy; choices pick which story plays</x:v>
      </x:c>
      <x:c r="AE278" s="9" t="str">
        <x:v>Multiple story outcomes depending on choices (verify)</x:v>
      </x:c>
      <x:c r="AF278" s="9" t="str">
        <x:v>Japanese PS1 and Saturn versions both arrived in 1995; suruga-ya dates a release to 11 Aug 1995 (verify which platform).</x:v>
      </x:c>
      <x:c r="AG278" s="9" t="str">
        <x:v>Unknown — verify</x:v>
      </x:c>
      <x:c r="AH278" s="9" t="str">
        <x:v>No</x:v>
      </x:c>
      <x:c r="AI278" s="9" t="str">
        <x:v>Import</x:v>
      </x:c>
      <x:c r="AJ278" s="9"/>
      <x:c r="AK278" s="9" t="str">
        <x:v>Facts from memory; Developer credit, disc count and save support need checking.</x:v>
      </x:c>
      <x:c r="AL278" s="10"/>
      <x:c r="AM278" s="10" t="n">
        <x:v>25.74</x:v>
      </x:c>
      <x:c r="AN278" s="10" t="n">
        <x:v>67</x:v>
      </x:c>
      <x:c r="AO278" s="9" t="str">
        <x:v>2026-10-21</x:v>
      </x:c>
      <x:c r="AP278" s="11" t="str">
        <x:f>HYPERLINK("https://www.pricecharting.com/game/jp-playstation/gakkou-no-kowai-uwasa-hanako-sangakita","PriceCharting")</x:f>
        <x:v>PriceCharting</x:v>
      </x:c>
      <x:c r="AQ278" s="9"/>
      <x:c r="AR278" s="9"/>
      <x:c r="AS278" s="9"/>
      <x:c r="AT278" s="9"/>
      <x:c r="AU278" s="9"/>
      <x:c r="AV278" s="9"/>
      <x:c r="AW278" s="9"/>
      <x:c r="AX278" s="9"/>
      <x:c r="AY278" s="9"/>
      <x:c r="AZ278" s="9"/>
      <x:c r="BA278" s="11" t="str">
        <x:f>HYPERLINK("https://www.mobygames.com/search/?q=Gakkou+no+Kowai+Uwasa%3A+Hanako-san+ga+Kita%21%21","MobyGames")</x:f>
        <x:v>MobyGames</x:v>
      </x:c>
      <x:c r="BB278" s="9"/>
      <x:c r="BC278" s="9"/>
      <x:c r="BD278" s="9"/>
      <x:c r="BE278" s="9"/>
      <x:c r="BF278" s="11" t="str">
        <x:f>HYPERLINK("https://backloggd.com/search/games/Gakkou%20no%20Kowai%20Uwasa%3A%20Hanako-san%20ga%20Kita%21%21/","Backloggd")</x:f>
        <x:v>Backloggd</x:v>
      </x:c>
      <x:c r="BG278" s="9"/>
      <x:c r="BH278" s="9"/>
      <x:c r="BI278" s="12" t="str">
        <x:v>No</x:v>
      </x:c>
      <x:c r="BJ278" s="12" t="str"/>
      <x:c r="BK278" s="12" t="str">
        <x:v>No</x:v>
      </x:c>
      <x:c r="BL278" s="12" t="str"/>
      <x:c r="BM278" s="12" t="str"/>
      <x:c r="BN278" s="12" t="str"/>
      <x:c r="BO278" s="12" t="str"/>
      <x:c r="BP278" s="12" t="str"/>
      <x:c r="BQ278" s="12" t="str"/>
    </x:row>
    <x:row r="279">
      <x:c r="A279" s="9" t="str">
        <x:v>ps1-66</x:v>
      </x:c>
      <x:c r="B279" s="9" t="str">
        <x:v>tokyo-shadow</x:v>
      </x:c>
      <x:c r="C279" s="9" t="str">
        <x:v>PlayStation</x:v>
      </x:c>
      <x:c r="D279" s="9" t="str">
        <x:v>Tokyo Shadow</x:v>
      </x:c>
      <x:c r="E279" s="9" t="str">
        <x:v>トウキョウ・シャドウ</x:v>
      </x:c>
      <x:c r="F279" s="9" t="str">
        <x:v>High-Tech Lab Japan</x:v>
      </x:c>
      <x:c r="G279" s="9" t="str">
        <x:v>Taito</x:v>
      </x:c>
      <x:c r="H279" s="9" t="n">
        <x:v>1996</x:v>
      </x:c>
      <x:c r="I279" s="9" t="str">
        <x:v>No</x:v>
      </x:c>
      <x:c r="J279" s="9" t="str">
        <x:v>Yes</x:v>
      </x:c>
      <x:c r="K279" s="9" t="str">
        <x:v>No</x:v>
      </x:c>
      <x:c r="L279" s="9" t="str">
        <x:v>No</x:v>
      </x:c>
      <x:c r="M279" s="9" t="str">
        <x:v>Live-action mystery adventure</x:v>
      </x:c>
      <x:c r="N279" s="9" t="str">
        <x:v>Live-action</x:v>
      </x:c>
      <x:c r="O279" s="9" t="n">
        <x:v>10</x:v>
      </x:c>
      <x:c r="P279" s="9" t="str">
        <x:v>Interactive movie</x:v>
      </x:c>
      <x:c r="Q279" s="9" t="str">
        <x:v>Released</x:v>
      </x:c>
      <x:c r="R279" s="9" t="str">
        <x:v>Original production</x:v>
      </x:c>
      <x:c r="S279" s="9" t="str">
        <x:v>Sega Saturn</x:v>
      </x:c>
      <x:c r="T279" s="9" t="str">
        <x:v>Unknown — verify</x:v>
      </x:c>
      <x:c r="U279" s="9" t="n">
        <x:v>3</x:v>
      </x:c>
      <x:c r="V279" s="9" t="str">
        <x:v>Yes (memory card, 3 blocks)</x:v>
      </x:c>
      <x:c r="W279" s="9" t="str">
        <x:v>Standard controller; memory card (3 blocks)</x:v>
      </x:c>
      <x:c r="X279" s="9" t="str">
        <x:v>Low</x:v>
      </x:c>
      <x:c r="Y279" s="9" t="str"/>
      <x:c r="Z279" s="9" t="str">
        <x:v>2–3 hr (verify)</x:v>
      </x:c>
      <x:c r="AA279" s="9" t="str">
        <x:v>A Japanese-only live-action Taito mystery shot like a mid-90s TV drama, and almost nobody outside Japan has seen it.</x:v>
      </x:c>
      <x:c r="AB279" s="9" t="str">
        <x:v>None known</x:v>
      </x:c>
      <x:c r="AC279" s="9" t="str">
        <x:v>Streamed live-action video (window size verify)</x:v>
      </x:c>
      <x:c r="AD279" s="9" t="str">
        <x:v>Unknown — verify</x:v>
      </x:c>
      <x:c r="AE279" s="9" t="str">
        <x:v>Unknown — verify</x:v>
      </x:c>
      <x:c r="AF279" s="9" t="str">
        <x:v>One of Taito's few live-action FMV productions.</x:v>
      </x:c>
      <x:c r="AG279" s="9" t="str">
        <x:v>Saturn version also exists (Sega Retro page) (verify release order)</x:v>
      </x:c>
      <x:c r="AH279" s="9" t="str">
        <x:v>No</x:v>
      </x:c>
      <x:c r="AI279" s="9" t="str">
        <x:v>Import</x:v>
      </x:c>
      <x:c r="AJ279" s="9"/>
      <x:c r="AK279" s="9" t="str">
        <x:v>Released 27 September 1996 (PriceCharting). Cast and disc count unconfirmed (verify).</x:v>
      </x:c>
      <x:c r="AL279" s="10"/>
      <x:c r="AM279" s="10" t="n">
        <x:v>21.7</x:v>
      </x:c>
      <x:c r="AN279" s="10" t="n">
        <x:v>56</x:v>
      </x:c>
      <x:c r="AO279" s="9" t="str">
        <x:v>2026-10-21</x:v>
      </x:c>
      <x:c r="AP279" s="11" t="str">
        <x:f>HYPERLINK("https://www.pricecharting.com/game/jp-playstation/tokyo-shadow","PriceCharting")</x:f>
        <x:v>PriceCharting</x:v>
      </x:c>
      <x:c r="AQ279" s="9"/>
      <x:c r="AR279" s="9"/>
      <x:c r="AS279" s="9"/>
      <x:c r="AT279" s="9"/>
      <x:c r="AU279" s="9"/>
      <x:c r="AV279" s="9"/>
      <x:c r="AW279" s="9"/>
      <x:c r="AX279" s="9"/>
      <x:c r="AY279" s="9"/>
      <x:c r="AZ279" s="9"/>
      <x:c r="BA279" s="11" t="str">
        <x:f>HYPERLINK("https://www.mobygames.com/search/?q=Tokyo+Shadow","MobyGames")</x:f>
        <x:v>MobyGames</x:v>
      </x:c>
      <x:c r="BB279" s="9" t="str">
        <x:v>68%</x:v>
      </x:c>
      <x:c r="BC279" s="9" t="str">
        <x:v>Famitsu Cross Review on Japanese Wikipedia</x:v>
      </x:c>
      <x:c r="BD279" s="9" t="str">
        <x:f>HYPERLINK("https://ja.wikipedia.org/wiki/%E6%9D%B1%E4%BA%AC%E3%82%B7%E3%83%A3%E3%83%89%E3%82%A6","Source")</x:f>
        <x:v>Source</x:v>
      </x:c>
      <x:c r="BE279" s="9"/>
      <x:c r="BF279" s="11" t="str">
        <x:f>HYPERLINK("https://backloggd.com/search/games/Tokyo%20Shadow/","Backloggd")</x:f>
        <x:v>Backloggd</x:v>
      </x:c>
      <x:c r="BG279" s="9"/>
      <x:c r="BH279" s="9"/>
      <x:c r="BI279" s="12" t="str">
        <x:v>No</x:v>
      </x:c>
      <x:c r="BJ279" s="12" t="str"/>
      <x:c r="BK279" s="12" t="str">
        <x:v>No</x:v>
      </x:c>
      <x:c r="BL279" s="12" t="str"/>
      <x:c r="BM279" s="12" t="str"/>
      <x:c r="BN279" s="12" t="str"/>
      <x:c r="BO279" s="12" t="str"/>
      <x:c r="BP279" s="12" t="str"/>
      <x:c r="BQ279" s="12" t="str"/>
    </x:row>
    <x:row r="280">
      <x:c r="A280" s="9" t="str">
        <x:v>ps1-67</x:v>
      </x:c>
      <x:c r="B280" s="9" t="str">
        <x:v>double-cast</x:v>
      </x:c>
      <x:c r="C280" s="9" t="str">
        <x:v>PlayStation</x:v>
      </x:c>
      <x:c r="D280" s="9" t="str">
        <x:v>Double Cast</x:v>
      </x:c>
      <x:c r="E280" s="9" t="str">
        <x:v>ダブルキャスト (Yarudora Series Vol. 1)</x:v>
      </x:c>
      <x:c r="F280" s="9" t="str">
        <x:v>Sony Computer Entertainment / Production I.G (animation)</x:v>
      </x:c>
      <x:c r="G280" s="9" t="str">
        <x:v>Sony Computer Entertainment</x:v>
      </x:c>
      <x:c r="H280" s="9" t="n">
        <x:v>1998</x:v>
      </x:c>
      <x:c r="I280" s="9" t="str">
        <x:v>No</x:v>
      </x:c>
      <x:c r="J280" s="9" t="str">
        <x:v>Yes</x:v>
      </x:c>
      <x:c r="K280" s="9" t="str">
        <x:v>No</x:v>
      </x:c>
      <x:c r="L280" s="9" t="str">
        <x:v>No</x:v>
      </x:c>
      <x:c r="M280" s="9" t="str">
        <x:v>Interactive anime drama / psychological thriller</x:v>
      </x:c>
      <x:c r="N280" s="9" t="str">
        <x:v>Animated</x:v>
      </x:c>
      <x:c r="O280" s="9" t="n">
        <x:v>10</x:v>
      </x:c>
      <x:c r="P280" s="9" t="str">
        <x:v>Interactive movie</x:v>
      </x:c>
      <x:c r="Q280" s="9" t="str">
        <x:v>Released</x:v>
      </x:c>
      <x:c r="R280" s="9" t="str">
        <x:v>Original production</x:v>
      </x:c>
      <x:c r="S280" s="9" t="str">
        <x:v>PSP (Yarudora Series Portable, 2008, verify)</x:v>
      </x:c>
      <x:c r="T280" s="9" t="str">
        <x:v>—</x:v>
      </x:c>
      <x:c r="U280" s="9" t="n">
        <x:v>2</x:v>
      </x:c>
      <x:c r="V280" s="9" t="str">
        <x:v>Yes</x:v>
      </x:c>
      <x:c r="W280" s="9" t="str">
        <x:v>Memory card (blocks: verify)</x:v>
      </x:c>
      <x:c r="X280" s="9" t="str">
        <x:v>Low–Med</x:v>
      </x:c>
      <x:c r="Y280" s="9" t="str">
        <x:v>Theme song / PSP re-release footage on YouTube</x:v>
      </x:c>
      <x:c r="Z280" s="9" t="str">
        <x:v>1–2 hr per route</x:v>
      </x:c>
      <x:c r="AA280" s="9" t="str">
        <x:v>Production I.G animates a branching amnesia thriller where some routes end in genuine horror.</x:v>
      </x:c>
      <x:c r="AB280" s="9" t="str">
        <x:v>None known</x:v>
      </x:c>
      <x:c r="AC280" s="9" t="str">
        <x:v>Full-screen anime FMV, good quality for PS1</x:v>
      </x:c>
      <x:c r="AD280" s="9" t="str">
        <x:v>Easy; timed choices</x:v>
      </x:c>
      <x:c r="AE280" s="9" t="str">
        <x:v>Many endings (around 15+ verify), from romance to gruesome</x:v>
      </x:c>
      <x:c r="AF280" s="9" t="str">
        <x:v>First of four Yarudora titles released across 1998; got a PSP port in the Yarudora Portable line.</x:v>
      </x:c>
      <x:c r="AG280" s="9" t="str">
        <x:v>PlayStation the Best reprint (verify)</x:v>
      </x:c>
      <x:c r="AH280" s="9" t="str">
        <x:v>Yes (PSP Yarudora Portable; verify PSN)</x:v>
      </x:c>
      <x:c r="AI280" s="9" t="str">
        <x:v>Import</x:v>
      </x:c>
      <x:c r="AJ280" s="9"/>
      <x:c r="AK280" s="9" t="str">
        <x:v>Yarudora (playable drama) series by Sony Computer Entertainment: fully animated branching story where you pick choices on a timer during the video. Disc count from memory (verify).</x:v>
      </x:c>
      <x:c r="AL280" s="10" t="n">
        <x:v>8</x:v>
      </x:c>
      <x:c r="AM280" s="10" t="n">
        <x:v>8.99</x:v>
      </x:c>
      <x:c r="AN280" s="10" t="n">
        <x:v>23</x:v>
      </x:c>
      <x:c r="AO280" s="9" t="str">
        <x:v>2026-10-21</x:v>
      </x:c>
      <x:c r="AP280" s="11" t="str">
        <x:f>HYPERLINK("https://www.pricecharting.com/game/jp-playstation/double-cast","PriceCharting")</x:f>
        <x:v>PriceCharting</x:v>
      </x:c>
      <x:c r="AQ280" s="9"/>
      <x:c r="AR280" s="9"/>
      <x:c r="AS280" s="9"/>
      <x:c r="AT280" s="9"/>
      <x:c r="AU280" s="9"/>
      <x:c r="AV280" s="9"/>
      <x:c r="AW280" s="9"/>
      <x:c r="AX280" s="9"/>
      <x:c r="AY280" s="9"/>
      <x:c r="AZ280" s="9"/>
      <x:c r="BA280" s="11" t="str">
        <x:f>HYPERLINK("https://www.mobygames.com/search/?q=Double+Cast","MobyGames")</x:f>
        <x:v>MobyGames</x:v>
      </x:c>
      <x:c r="BB280" s="9" t="str">
        <x:v>77%</x:v>
      </x:c>
      <x:c r="BC280" s="9" t="str">
        <x:v>average of 3 reviews on Japanese Wikipedia (Famitsu, Dengeki PlayStation, The PlayStation)</x:v>
      </x:c>
      <x:c r="BD280" s="9" t="str">
        <x:f>HYPERLINK("https://ja.wikipedia.org/wiki/%E3%83%80%E3%83%96%E3%83%AB%E3%82%AD%E3%83%A3%E3%82%B9%E3%83%88_%28%E3%82%B2%E3%83%BC%E3%83%A0%29","Source")</x:f>
        <x:v>Source</x:v>
      </x:c>
      <x:c r="BE280" s="11" t="str">
        <x:f>HYPERLINK("https://en.wikipedia.org/wiki/Double_Cast","Wikipedia")</x:f>
        <x:v>Wikipedia</x:v>
      </x:c>
      <x:c r="BF280" s="11" t="str">
        <x:f>HYPERLINK("https://backloggd.com/search/games/Double%20Cast/","Backloggd")</x:f>
        <x:v>Backloggd</x:v>
      </x:c>
      <x:c r="BG280" s="9"/>
      <x:c r="BH280" s="9"/>
      <x:c r="BI280" s="12" t="str">
        <x:v>No</x:v>
      </x:c>
      <x:c r="BJ280" s="12" t="str"/>
      <x:c r="BK280" s="12" t="str">
        <x:v>No</x:v>
      </x:c>
      <x:c r="BL280" s="12" t="str"/>
      <x:c r="BM280" s="12" t="str"/>
      <x:c r="BN280" s="12" t="str"/>
      <x:c r="BO280" s="12" t="str"/>
      <x:c r="BP280" s="12" t="str"/>
      <x:c r="BQ280" s="12" t="str"/>
    </x:row>
    <x:row r="281">
      <x:c r="A281" s="9" t="str">
        <x:v>ps1-68</x:v>
      </x:c>
      <x:c r="B281" s="9" t="str">
        <x:v>kisetsu-o-dakishimete</x:v>
      </x:c>
      <x:c r="C281" s="9" t="str">
        <x:v>PlayStation</x:v>
      </x:c>
      <x:c r="D281" s="9" t="str">
        <x:v>Kisetsu o Dakishimete</x:v>
      </x:c>
      <x:c r="E281" s="9" t="str">
        <x:v>季節を抱きしめて (Yarudora Series Vol. 2)</x:v>
      </x:c>
      <x:c r="F281" s="9" t="str">
        <x:v>Sugar &amp; Rockets (Sony Computer Entertainment) / Production I.G (animation)</x:v>
      </x:c>
      <x:c r="G281" s="9" t="str">
        <x:v>Sony Computer Entertainment</x:v>
      </x:c>
      <x:c r="H281" s="9" t="n">
        <x:v>1998</x:v>
      </x:c>
      <x:c r="I281" s="9" t="str">
        <x:v>No</x:v>
      </x:c>
      <x:c r="J281" s="9" t="str">
        <x:v>Yes</x:v>
      </x:c>
      <x:c r="K281" s="9" t="str">
        <x:v>No</x:v>
      </x:c>
      <x:c r="L281" s="9" t="str">
        <x:v>No</x:v>
      </x:c>
      <x:c r="M281" s="9" t="str">
        <x:v>Interactive anime drama / romance mystery</x:v>
      </x:c>
      <x:c r="N281" s="9" t="str">
        <x:v>Animated</x:v>
      </x:c>
      <x:c r="O281" s="9" t="n">
        <x:v>10</x:v>
      </x:c>
      <x:c r="P281" s="9" t="str">
        <x:v>Interactive movie</x:v>
      </x:c>
      <x:c r="Q281" s="9" t="str">
        <x:v>Released</x:v>
      </x:c>
      <x:c r="R281" s="9" t="str">
        <x:v>Original production</x:v>
      </x:c>
      <x:c r="S281" s="9" t="str">
        <x:v>PSP (Yarudora Series Portable, verify)</x:v>
      </x:c>
      <x:c r="T281" s="9" t="str">
        <x:v>—</x:v>
      </x:c>
      <x:c r="U281" s="9" t="n">
        <x:v>2</x:v>
      </x:c>
      <x:c r="V281" s="9" t="str">
        <x:v>Yes</x:v>
      </x:c>
      <x:c r="W281" s="9" t="str">
        <x:v>Memory card (blocks: verify)</x:v>
      </x:c>
      <x:c r="X281" s="9" t="str">
        <x:v>Low</x:v>
      </x:c>
      <x:c r="Y281" s="9" t="str"/>
      <x:c r="Z281" s="9" t="str">
        <x:v>1–2 hr per route</x:v>
      </x:c>
      <x:c r="AA281" s="9" t="str">
        <x:v>The romance-leaning second Yarudora: a seaside summer drama told entirely in branching anime.</x:v>
      </x:c>
      <x:c r="AB281" s="9" t="str">
        <x:v>None known</x:v>
      </x:c>
      <x:c r="AC281" s="9" t="str">
        <x:v>Full-screen anime FMV</x:v>
      </x:c>
      <x:c r="AD281" s="9" t="str">
        <x:v>Easy; timed choices</x:v>
      </x:c>
      <x:c r="AE281" s="9" t="str">
        <x:v>Multiple endings (count verify)</x:v>
      </x:c>
      <x:c r="AF281" s="9" t="str">
        <x:v>Released in 1998 within months of Double Cast.</x:v>
      </x:c>
      <x:c r="AG281" s="9" t="str">
        <x:v>Unknown — verify</x:v>
      </x:c>
      <x:c r="AH281" s="9" t="str">
        <x:v>Yes (PSP Yarudora Portable, verify)</x:v>
      </x:c>
      <x:c r="AI281" s="9" t="str">
        <x:v>Import</x:v>
      </x:c>
      <x:c r="AJ281" s="9"/>
      <x:c r="AK281" s="9" t="str">
        <x:v>Yarudora (playable drama) series by Sony Computer Entertainment: fully animated branching story where you pick choices on a timer during the video.</x:v>
      </x:c>
      <x:c r="AL281" s="10"/>
      <x:c r="AM281" s="10" t="n">
        <x:v>14.98</x:v>
      </x:c>
      <x:c r="AN281" s="10" t="n">
        <x:v>39</x:v>
      </x:c>
      <x:c r="AO281" s="9" t="str">
        <x:v>2026-10-21</x:v>
      </x:c>
      <x:c r="AP281" s="11" t="str">
        <x:f>HYPERLINK("https://www.pricecharting.com/game/jp-playstation/yarudora-series-vol-2-kisetsu-o-dakishimete","PriceCharting")</x:f>
        <x:v>PriceCharting</x:v>
      </x:c>
      <x:c r="AQ281" s="9"/>
      <x:c r="AR281" s="9"/>
      <x:c r="AS281" s="9"/>
      <x:c r="AT281" s="9"/>
      <x:c r="AU281" s="9"/>
      <x:c r="AV281" s="9"/>
      <x:c r="AW281" s="9"/>
      <x:c r="AX281" s="9"/>
      <x:c r="AY281" s="9"/>
      <x:c r="AZ281" s="9"/>
      <x:c r="BA281" s="11" t="str">
        <x:f>HYPERLINK("https://www.mobygames.com/search/?q=Kisetsu+o+Dakishimete","MobyGames")</x:f>
        <x:v>MobyGames</x:v>
      </x:c>
      <x:c r="BB281" s="9"/>
      <x:c r="BC281" s="9"/>
      <x:c r="BD281" s="9"/>
      <x:c r="BE281" s="9"/>
      <x:c r="BF281" s="11" t="str">
        <x:f>HYPERLINK("https://backloggd.com/search/games/Kisetsu%20o%20Dakishimete/","Backloggd")</x:f>
        <x:v>Backloggd</x:v>
      </x:c>
      <x:c r="BG281" s="9"/>
      <x:c r="BH281" s="9"/>
      <x:c r="BI281" s="12" t="str">
        <x:v>No</x:v>
      </x:c>
      <x:c r="BJ281" s="12" t="str"/>
      <x:c r="BK281" s="12" t="str">
        <x:v>No</x:v>
      </x:c>
      <x:c r="BL281" s="12" t="str"/>
      <x:c r="BM281" s="12" t="str"/>
      <x:c r="BN281" s="12" t="str"/>
      <x:c r="BO281" s="12" t="str"/>
      <x:c r="BP281" s="12" t="str"/>
      <x:c r="BQ281" s="12" t="str"/>
    </x:row>
    <x:row r="282">
      <x:c r="A282" s="9" t="str">
        <x:v>ps1-69</x:v>
      </x:c>
      <x:c r="B282" s="9" t="str">
        <x:v>sampaguita</x:v>
      </x:c>
      <x:c r="C282" s="9" t="str">
        <x:v>PlayStation</x:v>
      </x:c>
      <x:c r="D282" s="9" t="str">
        <x:v>Sampaguita</x:v>
      </x:c>
      <x:c r="E282" s="9" t="str">
        <x:v>サンパギータ (Yarudora Series Vol. 3)</x:v>
      </x:c>
      <x:c r="F282" s="9" t="str">
        <x:v>Sony Computer Entertainment</x:v>
      </x:c>
      <x:c r="G282" s="9" t="str">
        <x:v>Sony Computer Entertainment</x:v>
      </x:c>
      <x:c r="H282" s="9" t="n">
        <x:v>1998</x:v>
      </x:c>
      <x:c r="I282" s="9" t="str">
        <x:v>No</x:v>
      </x:c>
      <x:c r="J282" s="9" t="str">
        <x:v>Yes</x:v>
      </x:c>
      <x:c r="K282" s="9" t="str">
        <x:v>No</x:v>
      </x:c>
      <x:c r="L282" s="9" t="str">
        <x:v>No</x:v>
      </x:c>
      <x:c r="M282" s="9" t="str">
        <x:v>Interactive anime drama</x:v>
      </x:c>
      <x:c r="N282" s="9" t="str">
        <x:v>Animated</x:v>
      </x:c>
      <x:c r="O282" s="9" t="n">
        <x:v>10</x:v>
      </x:c>
      <x:c r="P282" s="9" t="str">
        <x:v>Interactive movie</x:v>
      </x:c>
      <x:c r="Q282" s="9" t="str">
        <x:v>Released</x:v>
      </x:c>
      <x:c r="R282" s="9" t="str">
        <x:v>Original production</x:v>
      </x:c>
      <x:c r="S282" s="9" t="str">
        <x:v>PSP (Yarudora Series Portable, verify)</x:v>
      </x:c>
      <x:c r="T282" s="9" t="str">
        <x:v>—</x:v>
      </x:c>
      <x:c r="U282" s="9" t="n">
        <x:v>2</x:v>
      </x:c>
      <x:c r="V282" s="9" t="str">
        <x:v>Yes</x:v>
      </x:c>
      <x:c r="W282" s="9" t="str">
        <x:v>Memory card (blocks: verify)</x:v>
      </x:c>
      <x:c r="X282" s="9" t="str">
        <x:v>Low</x:v>
      </x:c>
      <x:c r="Y282" s="9" t="str"/>
      <x:c r="Z282" s="9" t="str">
        <x:v>1–2 hr per route</x:v>
      </x:c>
      <x:c r="AA282" s="9" t="str">
        <x:v>A Yarudora drama about a Filipina woman in Japan, darker and more adult than its siblings.</x:v>
      </x:c>
      <x:c r="AB282" s="9" t="str">
        <x:v>None known</x:v>
      </x:c>
      <x:c r="AC282" s="9" t="str">
        <x:v>Full-screen anime FMV</x:v>
      </x:c>
      <x:c r="AD282" s="9" t="str">
        <x:v>Easy; timed choices</x:v>
      </x:c>
      <x:c r="AE282" s="9" t="str">
        <x:v>Multiple endings (verify)</x:v>
      </x:c>
      <x:c r="AF282" s="9" t="str">
        <x:v>Named for the sampaguita, the national flower of the Philippines.</x:v>
      </x:c>
      <x:c r="AG282" s="9" t="str">
        <x:v>Unknown — verify</x:v>
      </x:c>
      <x:c r="AH282" s="9" t="str">
        <x:v>Yes (PSP Yarudora Portable, verify)</x:v>
      </x:c>
      <x:c r="AI282" s="9" t="str">
        <x:v>Import</x:v>
      </x:c>
      <x:c r="AJ282" s="9"/>
      <x:c r="AK282" s="9" t="str">
        <x:v>Yarudora (playable drama) series by Sony Computer Entertainment: fully animated branching story where you pick choices on a timer during the video. the game itself not found. Animation studio unconfirmed.</x:v>
      </x:c>
      <x:c r="AL282" s="10" t="n">
        <x:v>7.44</x:v>
      </x:c>
      <x:c r="AM282" s="10" t="n">
        <x:v>11.07</x:v>
      </x:c>
      <x:c r="AN282" s="10" t="n">
        <x:v>29</x:v>
      </x:c>
      <x:c r="AO282" s="9" t="str">
        <x:v>2026-10-21</x:v>
      </x:c>
      <x:c r="AP282" s="11" t="str">
        <x:f>HYPERLINK("https://www.pricecharting.com/game/jp-playstation/yarudora-series-vol-3-sampaguita","PriceCharting")</x:f>
        <x:v>PriceCharting</x:v>
      </x:c>
      <x:c r="AQ282" s="9"/>
      <x:c r="AR282" s="9"/>
      <x:c r="AS282" s="9"/>
      <x:c r="AT282" s="9"/>
      <x:c r="AU282" s="9"/>
      <x:c r="AV282" s="9"/>
      <x:c r="AW282" s="9"/>
      <x:c r="AX282" s="9"/>
      <x:c r="AY282" s="9"/>
      <x:c r="AZ282" s="9"/>
      <x:c r="BA282" s="11" t="str">
        <x:f>HYPERLINK("https://www.mobygames.com/search/?q=Sampaguita","MobyGames")</x:f>
        <x:v>MobyGames</x:v>
      </x:c>
      <x:c r="BB282" s="9" t="str">
        <x:v>75%</x:v>
      </x:c>
      <x:c r="BC282" s="9" t="str">
        <x:v>average of 3 reviews on Japanese Wikipedia (Famitsu, Dengeki PlayStation, The PlayStation)</x:v>
      </x:c>
      <x:c r="BD282" s="9" t="str">
        <x:f>HYPERLINK("https://ja.wikipedia.org/wiki/%E3%82%B5%E3%83%B3%E3%83%91%E3%82%AE%E3%83%BC%E3%82%BF","Source")</x:f>
        <x:v>Source</x:v>
      </x:c>
      <x:c r="BE282" s="9"/>
      <x:c r="BF282" s="11" t="str">
        <x:f>HYPERLINK("https://backloggd.com/search/games/Sampaguita/","Backloggd")</x:f>
        <x:v>Backloggd</x:v>
      </x:c>
      <x:c r="BG282" s="9"/>
      <x:c r="BH282" s="9"/>
      <x:c r="BI282" s="12" t="str">
        <x:v>No</x:v>
      </x:c>
      <x:c r="BJ282" s="12" t="str"/>
      <x:c r="BK282" s="12" t="str">
        <x:v>No</x:v>
      </x:c>
      <x:c r="BL282" s="12" t="str"/>
      <x:c r="BM282" s="12" t="str"/>
      <x:c r="BN282" s="12" t="str"/>
      <x:c r="BO282" s="12" t="str"/>
      <x:c r="BP282" s="12" t="str"/>
      <x:c r="BQ282" s="12" t="str"/>
    </x:row>
    <x:row r="283">
      <x:c r="A283" s="9" t="str">
        <x:v>ps1-70</x:v>
      </x:c>
      <x:c r="B283" s="9" t="str">
        <x:v>yukiwari-no-hana</x:v>
      </x:c>
      <x:c r="C283" s="9" t="str">
        <x:v>PlayStation</x:v>
      </x:c>
      <x:c r="D283" s="9" t="str">
        <x:v>Yukiwari no Hana</x:v>
      </x:c>
      <x:c r="E283" s="9" t="str">
        <x:v>雪割りの花 (Yarudora Series Vol. 4)</x:v>
      </x:c>
      <x:c r="F283" s="9" t="str">
        <x:v>Sony Computer Entertainment</x:v>
      </x:c>
      <x:c r="G283" s="9" t="str">
        <x:v>Sony Computer Entertainment</x:v>
      </x:c>
      <x:c r="H283" s="9" t="n">
        <x:v>1998</x:v>
      </x:c>
      <x:c r="I283" s="9" t="str">
        <x:v>No</x:v>
      </x:c>
      <x:c r="J283" s="9" t="str">
        <x:v>Yes</x:v>
      </x:c>
      <x:c r="K283" s="9" t="str">
        <x:v>No</x:v>
      </x:c>
      <x:c r="L283" s="9" t="str">
        <x:v>No</x:v>
      </x:c>
      <x:c r="M283" s="9" t="str">
        <x:v>Interactive anime drama / romance</x:v>
      </x:c>
      <x:c r="N283" s="9" t="str">
        <x:v>Animated</x:v>
      </x:c>
      <x:c r="O283" s="9" t="n">
        <x:v>10</x:v>
      </x:c>
      <x:c r="P283" s="9" t="str">
        <x:v>Interactive movie</x:v>
      </x:c>
      <x:c r="Q283" s="9" t="str">
        <x:v>Released</x:v>
      </x:c>
      <x:c r="R283" s="9" t="str">
        <x:v>Original production</x:v>
      </x:c>
      <x:c r="S283" s="9" t="str">
        <x:v>PSP (Yarudora Series Portable, verify)</x:v>
      </x:c>
      <x:c r="T283" s="9" t="str">
        <x:v>—</x:v>
      </x:c>
      <x:c r="U283" s="9" t="n">
        <x:v>2</x:v>
      </x:c>
      <x:c r="V283" s="9" t="str">
        <x:v>Yes</x:v>
      </x:c>
      <x:c r="W283" s="9" t="str">
        <x:v>Memory card (blocks: verify)</x:v>
      </x:c>
      <x:c r="X283" s="9" t="str">
        <x:v>Low</x:v>
      </x:c>
      <x:c r="Y283" s="9" t="str"/>
      <x:c r="Z283" s="9" t="str">
        <x:v>1–2 hr per route</x:v>
      </x:c>
      <x:c r="AA283" s="9" t="str">
        <x:v>The final Yarudora, a quiet snowbound romance in rural Japan.</x:v>
      </x:c>
      <x:c r="AB283" s="9" t="str">
        <x:v>None known</x:v>
      </x:c>
      <x:c r="AC283" s="9" t="str">
        <x:v>Full-screen anime FMV</x:v>
      </x:c>
      <x:c r="AD283" s="9" t="str">
        <x:v>Easy; timed choices</x:v>
      </x:c>
      <x:c r="AE283" s="9" t="str">
        <x:v>Multiple endings (verify)</x:v>
      </x:c>
      <x:c r="AF283" s="9" t="str">
        <x:v>Last of the four 1998 Yarudora releases.</x:v>
      </x:c>
      <x:c r="AG283" s="9" t="str">
        <x:v>Unknown — verify</x:v>
      </x:c>
      <x:c r="AH283" s="9" t="str">
        <x:v>Yes (PSP Yarudora Portable, verify)</x:v>
      </x:c>
      <x:c r="AI283" s="9" t="str">
        <x:v>Import</x:v>
      </x:c>
      <x:c r="AJ283" s="9"/>
      <x:c r="AK283" s="9" t="str">
        <x:v>Yarudora (playable drama) series by Sony Computer Entertainment: fully animated branching story where you pick choices on a timer during the video. 4: Yukiwari No Hana';</x:v>
      </x:c>
      <x:c r="AL283" s="10"/>
      <x:c r="AM283" s="10" t="n">
        <x:v>4.99</x:v>
      </x:c>
      <x:c r="AN283" s="10" t="n">
        <x:v>13</x:v>
      </x:c>
      <x:c r="AO283" s="9" t="str">
        <x:v>2026-10-21</x:v>
      </x:c>
      <x:c r="AP283" s="11" t="str">
        <x:f>HYPERLINK("https://www.pricecharting.com/game/jp-playstation/yarudora-series-vol-4-yukiwari-no-hana","PriceCharting")</x:f>
        <x:v>PriceCharting</x:v>
      </x:c>
      <x:c r="AQ283" s="9"/>
      <x:c r="AR283" s="9"/>
      <x:c r="AS283" s="9"/>
      <x:c r="AT283" s="9"/>
      <x:c r="AU283" s="9"/>
      <x:c r="AV283" s="9"/>
      <x:c r="AW283" s="9"/>
      <x:c r="AX283" s="9"/>
      <x:c r="AY283" s="9"/>
      <x:c r="AZ283" s="9"/>
      <x:c r="BA283" s="11" t="str">
        <x:f>HYPERLINK("https://www.mobygames.com/search/?q=Yukiwari+no+Hana","MobyGames")</x:f>
        <x:v>MobyGames</x:v>
      </x:c>
      <x:c r="BB283" s="9"/>
      <x:c r="BC283" s="9"/>
      <x:c r="BD283" s="9"/>
      <x:c r="BE283" s="9"/>
      <x:c r="BF283" s="11" t="str">
        <x:f>HYPERLINK("https://backloggd.com/search/games/Yukiwari%20no%20Hana/","Backloggd")</x:f>
        <x:v>Backloggd</x:v>
      </x:c>
      <x:c r="BG283" s="9"/>
      <x:c r="BH283" s="9"/>
      <x:c r="BI283" s="12" t="str">
        <x:v>No</x:v>
      </x:c>
      <x:c r="BJ283" s="12" t="str"/>
      <x:c r="BK283" s="12" t="str">
        <x:v>No</x:v>
      </x:c>
      <x:c r="BL283" s="12" t="str"/>
      <x:c r="BM283" s="12" t="str"/>
      <x:c r="BN283" s="12" t="str"/>
      <x:c r="BO283" s="12" t="str"/>
      <x:c r="BP283" s="12" t="str"/>
      <x:c r="BQ283" s="12" t="str"/>
    </x:row>
    <x:row r="284">
      <x:c r="A284" s="9" t="str">
        <x:v>ps1-71</x:v>
      </x:c>
      <x:c r="B284" s="9" t="str">
        <x:v>dancing-blade-katte-ni-momotenshi</x:v>
      </x:c>
      <x:c r="C284" s="9" t="str">
        <x:v>PlayStation</x:v>
      </x:c>
      <x:c r="D284" s="9" t="str">
        <x:v>Dancing Blade: Katte ni Momotenshi!</x:v>
      </x:c>
      <x:c r="E284" s="9" t="str">
        <x:v>ダンシングブレード かってに桃天使!</x:v>
      </x:c>
      <x:c r="F284" s="9" t="str">
        <x:v>Konami Computer Entertainment Tokyo</x:v>
      </x:c>
      <x:c r="G284" s="9" t="str">
        <x:v>Konami</x:v>
      </x:c>
      <x:c r="H284" s="9" t="n">
        <x:v>1998</x:v>
      </x:c>
      <x:c r="I284" s="9" t="str">
        <x:v>No</x:v>
      </x:c>
      <x:c r="J284" s="9" t="str">
        <x:v>Yes</x:v>
      </x:c>
      <x:c r="K284" s="9" t="str">
        <x:v>No</x:v>
      </x:c>
      <x:c r="L284" s="9" t="str">
        <x:v>No</x:v>
      </x:c>
      <x:c r="M284" s="9" t="str">
        <x:v>Anime adventure with QTE</x:v>
      </x:c>
      <x:c r="N284" s="9" t="str">
        <x:v>Animated</x:v>
      </x:c>
      <x:c r="O284" s="9" t="n">
        <x:v>9</x:v>
      </x:c>
      <x:c r="P284" s="9" t="str">
        <x:v>Interactive movie</x:v>
      </x:c>
      <x:c r="Q284" s="9" t="str">
        <x:v>Released</x:v>
      </x:c>
      <x:c r="R284" s="9" t="str">
        <x:v>Original production</x:v>
      </x:c>
      <x:c r="S284" s="9" t="str">
        <x:v>Sega Saturn (Kanzenban, 1999)</x:v>
      </x:c>
      <x:c r="T284" s="9" t="str">
        <x:v>—</x:v>
      </x:c>
      <x:c r="U284" s="9" t="n">
        <x:v>3</x:v>
      </x:c>
      <x:c r="V284" s="9" t="str">
        <x:v>Unknown — verify</x:v>
      </x:c>
      <x:c r="W284" s="9" t="str">
        <x:v>Memory card (blocks: verify)</x:v>
      </x:c>
      <x:c r="X284" s="9" t="str">
        <x:v>Low–Med</x:v>
      </x:c>
      <x:c r="Y284" s="9" t="str">
        <x:v>Anime theme songs</x:v>
      </x:c>
      <x:c r="Z284" s="9" t="str">
        <x:v>3–5 hr</x:v>
      </x:c>
      <x:c r="AA284" s="9" t="str">
        <x:v>Konami's comedy-fantasy anime you 'play' with timed button prompts, a 1998 Dragon's Lair for anime fans.</x:v>
      </x:c>
      <x:c r="AB284" s="9" t="str">
        <x:v>None known</x:v>
      </x:c>
      <x:c r="AC284" s="9" t="str">
        <x:v>Full-screen anime FMV</x:v>
      </x:c>
      <x:c r="AD284" s="9" t="str">
        <x:v>Easy–Moderate; mistimed prompts cost lives</x:v>
      </x:c>
      <x:c r="AE284" s="9" t="str">
        <x:v>Largely linear (verify)</x:v>
      </x:c>
      <x:c r="AF284" s="9" t="str">
        <x:v>A Saturn 'Kanzenban' (complete edition) followed; psxdatacenter also lists an SCPS-coded reissue (SCPS-45303).</x:v>
      </x:c>
      <x:c r="AG284" s="9" t="str">
        <x:v>SLPM-86100 original; SCPS-45303 reissue (verify which is which)</x:v>
      </x:c>
      <x:c r="AH284" s="9" t="str">
        <x:v>No</x:v>
      </x:c>
      <x:c r="AI284" s="9" t="str">
        <x:v>Import</x:v>
      </x:c>
      <x:c r="AJ284" s="9"/>
      <x:c r="AK284" s="9" t="str">
        <x:v>Konami anime adventure: watch the animated story and hit button prompts / choices during scenes.</x:v>
      </x:c>
      <x:c r="AL284" s="10"/>
      <x:c r="AM284" s="10" t="n">
        <x:v>45</x:v>
      </x:c>
      <x:c r="AN284" s="10" t="n">
        <x:v>93.99</x:v>
      </x:c>
      <x:c r="AO284" s="9" t="str">
        <x:v>2026-10-21</x:v>
      </x:c>
      <x:c r="AP284" s="11" t="str">
        <x:f>HYPERLINK("https://www.pricecharting.com/game/jp-playstation/dancing-blade-katteni-momotenshi","PriceCharting")</x:f>
        <x:v>PriceCharting</x:v>
      </x:c>
      <x:c r="AQ284" s="9"/>
      <x:c r="AR284" s="9"/>
      <x:c r="AS284" s="9"/>
      <x:c r="AT284" s="9"/>
      <x:c r="AU284" s="9"/>
      <x:c r="AV284" s="9"/>
      <x:c r="AW284" s="9"/>
      <x:c r="AX284" s="9"/>
      <x:c r="AY284" s="9"/>
      <x:c r="AZ284" s="9"/>
      <x:c r="BA284" s="11" t="str">
        <x:f>HYPERLINK("https://www.mobygames.com/search/?q=Dancing+Blade%3A+Katte+ni+Momotenshi%21","MobyGames")</x:f>
        <x:v>MobyGames</x:v>
      </x:c>
      <x:c r="BB284" s="9"/>
      <x:c r="BC284" s="9"/>
      <x:c r="BD284" s="9"/>
      <x:c r="BE284" s="9"/>
      <x:c r="BF284" s="11" t="str">
        <x:f>HYPERLINK("https://backloggd.com/search/games/Dancing%20Blade%3A%20Katte%20ni%20Momotenshi%21/","Backloggd")</x:f>
        <x:v>Backloggd</x:v>
      </x:c>
      <x:c r="BG284" s="9"/>
      <x:c r="BH284" s="9"/>
      <x:c r="BI284" s="12" t="str">
        <x:v>No</x:v>
      </x:c>
      <x:c r="BJ284" s="12" t="str"/>
      <x:c r="BK284" s="12" t="str">
        <x:v>No</x:v>
      </x:c>
      <x:c r="BL284" s="12" t="str"/>
      <x:c r="BM284" s="12" t="str"/>
      <x:c r="BN284" s="12" t="str"/>
      <x:c r="BO284" s="12" t="str"/>
      <x:c r="BP284" s="12" t="str"/>
      <x:c r="BQ284" s="12" t="str"/>
    </x:row>
    <x:row r="285">
      <x:c r="A285" s="9" t="str">
        <x:v>ps1-72</x:v>
      </x:c>
      <x:c r="B285" s="9" t="str">
        <x:v>dancing-blade-katte-ni-momotenshi-ii-tears-of-eden</x:v>
      </x:c>
      <x:c r="C285" s="9" t="str">
        <x:v>PlayStation</x:v>
      </x:c>
      <x:c r="D285" s="9" t="str">
        <x:v>Dancing Blade: Katte ni Momotenshi II – Tears of Eden</x:v>
      </x:c>
      <x:c r="E285" s="9" t="str">
        <x:v>ダンシングブレード かってに桃天使II Tears of Eden</x:v>
      </x:c>
      <x:c r="F285" s="9" t="str">
        <x:v>Konami</x:v>
      </x:c>
      <x:c r="G285" s="9" t="str">
        <x:v>Konami</x:v>
      </x:c>
      <x:c r="H285" s="9" t="n">
        <x:v>1999</x:v>
      </x:c>
      <x:c r="I285" s="9" t="str">
        <x:v>No</x:v>
      </x:c>
      <x:c r="J285" s="9" t="str">
        <x:v>Yes</x:v>
      </x:c>
      <x:c r="K285" s="9" t="str">
        <x:v>No</x:v>
      </x:c>
      <x:c r="L285" s="9" t="str">
        <x:v>No</x:v>
      </x:c>
      <x:c r="M285" s="9" t="str">
        <x:v>Anime adventure with QTE</x:v>
      </x:c>
      <x:c r="N285" s="9" t="str">
        <x:v>Animated</x:v>
      </x:c>
      <x:c r="O285" s="9" t="n">
        <x:v>9</x:v>
      </x:c>
      <x:c r="P285" s="9" t="str">
        <x:v>Interactive movie</x:v>
      </x:c>
      <x:c r="Q285" s="9" t="str">
        <x:v>Released</x:v>
      </x:c>
      <x:c r="R285" s="9" t="str">
        <x:v>Sequel to Dancing Blade</x:v>
      </x:c>
      <x:c r="S285" s="9" t="str">
        <x:v>Sega Saturn (Kanzenban)</x:v>
      </x:c>
      <x:c r="T285" s="9" t="str">
        <x:v>—</x:v>
      </x:c>
      <x:c r="U285" s="9" t="n">
        <x:v>3</x:v>
      </x:c>
      <x:c r="V285" s="9" t="str">
        <x:v>Unknown — verify</x:v>
      </x:c>
      <x:c r="W285" s="9" t="str">
        <x:v>Memory card (blocks: verify)</x:v>
      </x:c>
      <x:c r="X285" s="9" t="str">
        <x:v>Low–Med</x:v>
      </x:c>
      <x:c r="Y285" s="9" t="str">
        <x:v>Anime theme songs</x:v>
      </x:c>
      <x:c r="Z285" s="9" t="str">
        <x:v>3–5 hr</x:v>
      </x:c>
      <x:c r="AA285" s="9" t="str">
        <x:v>The sequel to Konami's playable anime, bigger and on more discs.</x:v>
      </x:c>
      <x:c r="AB285" s="9" t="str">
        <x:v>None known</x:v>
      </x:c>
      <x:c r="AC285" s="9" t="str">
        <x:v>Full-screen anime FMV</x:v>
      </x:c>
      <x:c r="AD285" s="9" t="str">
        <x:v>Easy–Moderate</x:v>
      </x:c>
      <x:c r="AE285" s="9" t="str">
        <x:v>Unknown — verify</x:v>
      </x:c>
      <x:c r="AF285" s="9" t="str">
        <x:v>Also received a Saturn Kanzenban edition.</x:v>
      </x:c>
      <x:c r="AG285" s="9" t="str">
        <x:v>Unknown — verify</x:v>
      </x:c>
      <x:c r="AH285" s="9" t="str">
        <x:v>No</x:v>
      </x:c>
      <x:c r="AI285" s="9" t="str">
        <x:v>Import</x:v>
      </x:c>
      <x:c r="AJ285" s="9"/>
      <x:c r="AK285" s="9" t="str">
        <x:v>Konami anime adventure: watch the animated story and hit button prompts / choices during scenes. Year 1999 from memory (verify).</x:v>
      </x:c>
      <x:c r="AL285" s="10"/>
      <x:c r="AM285" s="10" t="n">
        <x:v>6.62</x:v>
      </x:c>
      <x:c r="AN285" s="10" t="n">
        <x:v>17</x:v>
      </x:c>
      <x:c r="AO285" s="9" t="str">
        <x:v>2026-10-21</x:v>
      </x:c>
      <x:c r="AP285" s="11" t="str">
        <x:f>HYPERLINK("https://www.pricecharting.com/game/jp-playstation/dancing-blade-katteni-momotenshi-2-tears-of-eden","PriceCharting")</x:f>
        <x:v>PriceCharting</x:v>
      </x:c>
      <x:c r="AQ285" s="9"/>
      <x:c r="AR285" s="9"/>
      <x:c r="AS285" s="9"/>
      <x:c r="AT285" s="9"/>
      <x:c r="AU285" s="9"/>
      <x:c r="AV285" s="9"/>
      <x:c r="AW285" s="9"/>
      <x:c r="AX285" s="9"/>
      <x:c r="AY285" s="9"/>
      <x:c r="AZ285" s="9"/>
      <x:c r="BA285" s="11" t="str">
        <x:f>HYPERLINK("https://www.mobygames.com/search/?q=Dancing+Blade%3A+Katte+ni+Momotenshi+II+%E2%80%93+Tears+of+Eden","MobyGames")</x:f>
        <x:v>MobyGames</x:v>
      </x:c>
      <x:c r="BB285" s="9"/>
      <x:c r="BC285" s="9"/>
      <x:c r="BD285" s="9"/>
      <x:c r="BE285" s="9"/>
      <x:c r="BF285" s="11" t="str">
        <x:f>HYPERLINK("https://backloggd.com/search/games/Dancing%20Blade%3A%20Katte%20ni%20Momotenshi%20II%20%E2%80%93%20Tears%20of%20Eden/","Backloggd")</x:f>
        <x:v>Backloggd</x:v>
      </x:c>
      <x:c r="BG285" s="9"/>
      <x:c r="BH285" s="9"/>
      <x:c r="BI285" s="12" t="str">
        <x:v>No</x:v>
      </x:c>
      <x:c r="BJ285" s="12" t="str"/>
      <x:c r="BK285" s="12" t="str">
        <x:v>No</x:v>
      </x:c>
      <x:c r="BL285" s="12" t="str"/>
      <x:c r="BM285" s="12" t="str"/>
      <x:c r="BN285" s="12" t="str"/>
      <x:c r="BO285" s="12" t="str"/>
      <x:c r="BP285" s="12" t="str"/>
      <x:c r="BQ285" s="12" t="str"/>
    </x:row>
    <x:row r="286">
      <x:c r="A286" s="9" t="str">
        <x:v>ps1-73</x:v>
      </x:c>
      <x:c r="B286" s="9" t="str">
        <x:v>time-gal-and-ninja-hayate</x:v>
      </x:c>
      <x:c r="C286" s="9" t="str">
        <x:v>PlayStation</x:v>
      </x:c>
      <x:c r="D286" s="9" t="str">
        <x:v>Time Gal &amp; Ninja Hayate</x:v>
      </x:c>
      <x:c r="E286" s="9" t="str">
        <x:v>タイムギャル &amp; 忍者ハヤテ</x:v>
      </x:c>
      <x:c r="F286" s="9" t="str">
        <x:v>Ecseco (Ecoseya) / Taito</x:v>
      </x:c>
      <x:c r="G286" s="9" t="str">
        <x:v>Ecseco</x:v>
      </x:c>
      <x:c r="H286" s="9" t="n">
        <x:v>1996</x:v>
      </x:c>
      <x:c r="I286" s="9" t="str">
        <x:v>No</x:v>
      </x:c>
      <x:c r="J286" s="9" t="str">
        <x:v>Yes</x:v>
      </x:c>
      <x:c r="K286" s="9" t="str">
        <x:v>No</x:v>
      </x:c>
      <x:c r="L286" s="9" t="str">
        <x:v>No</x:v>
      </x:c>
      <x:c r="M286" s="9" t="str">
        <x:v>Laserdisc QTE action</x:v>
      </x:c>
      <x:c r="N286" s="9" t="str">
        <x:v>Animated</x:v>
      </x:c>
      <x:c r="O286" s="9" t="n">
        <x:v>10</x:v>
      </x:c>
      <x:c r="P286" s="9" t="str">
        <x:v>Laserdisc port</x:v>
      </x:c>
      <x:c r="Q286" s="9" t="str">
        <x:v>Released</x:v>
      </x:c>
      <x:c r="R286" s="9" t="str">
        <x:v>Taito arcade laserdisc games Time Gal (1985) and Ninja Hayate (1984), animated by Toei</x:v>
      </x:c>
      <x:c r="S286" s="9" t="str">
        <x:v>Sega Saturn (same compilation); Time Gal also Sega CD, LaserActive; Taito LD Collection on Switch (2023)</x:v>
      </x:c>
      <x:c r="T286" s="9" t="str">
        <x:v>—</x:v>
      </x:c>
      <x:c r="U286" s="9" t="n">
        <x:v>2</x:v>
      </x:c>
      <x:c r="V286" s="9" t="str">
        <x:v>Unknown — verify</x:v>
      </x:c>
      <x:c r="W286" s="9" t="str">
        <x:v>Memory card (blocks: verify)</x:v>
      </x:c>
      <x:c r="X286" s="9" t="str">
        <x:v>Low</x:v>
      </x:c>
      <x:c r="Y286" s="9" t="str"/>
      <x:c r="Z286" s="9" t="str">
        <x:v>1 hr per game</x:v>
      </x:c>
      <x:c r="AA286" s="9" t="str">
        <x:v>Two Taito anime laserdisc games on one PS1 release, including the never-before-ported Ninja Hayate.</x:v>
      </x:c>
      <x:c r="AB286" s="9" t="str">
        <x:v>None known</x:v>
      </x:c>
      <x:c r="AC286" s="9" t="str">
        <x:v>Full-screen streamed animation, far better than the Sega CD Time Gal</x:v>
      </x:c>
      <x:c r="AD286" s="9" t="str">
        <x:v>Hard; memorisation of every prompt</x:v>
      </x:c>
      <x:c r="AE286" s="9" t="str">
        <x:v>Single ending each</x:v>
      </x:c>
      <x:c r="AF286" s="9" t="str">
        <x:v>Ninja Hayate's first home port.</x:v>
      </x:c>
      <x:c r="AG286" s="9" t="str">
        <x:v>SLPS-00383</x:v>
      </x:c>
      <x:c r="AH286" s="9" t="str">
        <x:v>Yes (Taito LD Collection, Switch)</x:v>
      </x:c>
      <x:c r="AI286" s="9" t="str">
        <x:v>Import</x:v>
      </x:c>
      <x:c r="AJ286" s="9"/>
      <x:c r="AK286" s="9" t="str">
        <x:v>Disc count from memory (verify).</x:v>
      </x:c>
      <x:c r="AL286" s="10"/>
      <x:c r="AM286" s="10" t="n">
        <x:v>139.58</x:v>
      </x:c>
      <x:c r="AN286" s="10" t="n">
        <x:v>363</x:v>
      </x:c>
      <x:c r="AO286" s="9" t="str">
        <x:v>2026-10-21</x:v>
      </x:c>
      <x:c r="AP286" s="11" t="str">
        <x:f>HYPERLINK("https://www.pricecharting.com/game/jp-playstation/time-gal-&amp;-ninja-hayate","PriceCharting")</x:f>
        <x:v>PriceCharting</x:v>
      </x:c>
      <x:c r="AQ286" s="9"/>
      <x:c r="AR286" s="9"/>
      <x:c r="AS286" s="9"/>
      <x:c r="AT286" s="9"/>
      <x:c r="AU286" s="9"/>
      <x:c r="AV286" s="9"/>
      <x:c r="AW286" s="9"/>
      <x:c r="AX286" s="9"/>
      <x:c r="AY286" s="9"/>
      <x:c r="AZ286" s="9"/>
      <x:c r="BA286" s="11" t="str">
        <x:f>HYPERLINK("https://www.mobygames.com/search/?q=Time+Gal+%26+Ninja+Hayate","MobyGames")</x:f>
        <x:v>MobyGames</x:v>
      </x:c>
      <x:c r="BB286" s="9"/>
      <x:c r="BC286" s="9"/>
      <x:c r="BD286" s="9"/>
      <x:c r="BE286" s="11" t="str">
        <x:f>HYPERLINK("https://en.wikipedia.org/wiki/Ninja_Hayate","Wikipedia")</x:f>
        <x:v>Wikipedia</x:v>
      </x:c>
      <x:c r="BF286" s="11" t="str">
        <x:f>HYPERLINK("https://backloggd.com/search/games/Time%20Gal%20%26%20Ninja%20Hayate/","Backloggd")</x:f>
        <x:v>Backloggd</x:v>
      </x:c>
      <x:c r="BG286" s="9"/>
      <x:c r="BH286" s="9"/>
      <x:c r="BI286" s="12" t="str">
        <x:v>No</x:v>
      </x:c>
      <x:c r="BJ286" s="12" t="str"/>
      <x:c r="BK286" s="12" t="str">
        <x:v>No</x:v>
      </x:c>
      <x:c r="BL286" s="12" t="str"/>
      <x:c r="BM286" s="12" t="str"/>
      <x:c r="BN286" s="12" t="str"/>
      <x:c r="BO286" s="12" t="str"/>
      <x:c r="BP286" s="12" t="str"/>
      <x:c r="BQ286" s="12" t="str"/>
    </x:row>
    <x:row r="287">
      <x:c r="A287" s="9" t="str">
        <x:v>ps1-74</x:v>
      </x:c>
      <x:c r="B287" s="9" t="str">
        <x:v>thunder-storm-and-road-blaster</x:v>
      </x:c>
      <x:c r="C287" s="9" t="str">
        <x:v>PlayStation</x:v>
      </x:c>
      <x:c r="D287" s="9" t="str">
        <x:v>Thunder Storm &amp; Road Blaster</x:v>
      </x:c>
      <x:c r="E287" s="9" t="str">
        <x:v>サンダーストーム LX-3 &amp; ロードブラスター</x:v>
      </x:c>
      <x:c r="F287" s="9" t="str">
        <x:v>Ecseco (Ecoseya)</x:v>
      </x:c>
      <x:c r="G287" s="9" t="str">
        <x:v>Ecseco (Ecoseya)</x:v>
      </x:c>
      <x:c r="H287" s="9" t="n">
        <x:v>1995</x:v>
      </x:c>
      <x:c r="I287" s="9" t="str">
        <x:v>No</x:v>
      </x:c>
      <x:c r="J287" s="9" t="str">
        <x:v>Yes</x:v>
      </x:c>
      <x:c r="K287" s="9" t="str">
        <x:v>No</x:v>
      </x:c>
      <x:c r="L287" s="9" t="str">
        <x:v>No</x:v>
      </x:c>
      <x:c r="M287" s="9" t="str">
        <x:v>Laserdisc rail shooter + driving QTE</x:v>
      </x:c>
      <x:c r="N287" s="9" t="str">
        <x:v>Animated</x:v>
      </x:c>
      <x:c r="O287" s="9" t="n">
        <x:v>10</x:v>
      </x:c>
      <x:c r="P287" s="9" t="str">
        <x:v>Laserdisc port</x:v>
      </x:c>
      <x:c r="Q287" s="9" t="str">
        <x:v>Released</x:v>
      </x:c>
      <x:c r="R287" s="9" t="str">
        <x:v>Data East arcade laserdisc games Thunder Storm/Cobra Command (1984) and Road Blaster (1985), animated by Toei</x:v>
      </x:c>
      <x:c r="S287" s="9" t="str">
        <x:v>Sega Saturn (same pairing); Sega CD (Cobra Command, Road Avenger); LaserActive</x:v>
      </x:c>
      <x:c r="T287" s="9" t="str">
        <x:v>—</x:v>
      </x:c>
      <x:c r="U287" s="9" t="n">
        <x:v>2</x:v>
      </x:c>
      <x:c r="V287" s="9" t="str">
        <x:v>Unknown — verify</x:v>
      </x:c>
      <x:c r="W287" s="9" t="str">
        <x:v>Memory card (blocks: verify)</x:v>
      </x:c>
      <x:c r="X287" s="9" t="str">
        <x:v>Low</x:v>
      </x:c>
      <x:c r="Y287" s="9" t="str"/>
      <x:c r="Z287" s="9" t="str">
        <x:v>30–60 min per game</x:v>
      </x:c>
      <x:c r="AA287" s="9" t="str">
        <x:v>The anime laserdisc games behind Sega CD's Cobra Command and Road Avenger, uncut on one PS1 release.</x:v>
      </x:c>
      <x:c r="AB287" s="9" t="str">
        <x:v>None known</x:v>
      </x:c>
      <x:c r="AC287" s="9" t="str">
        <x:v>Full-screen streamed animation</x:v>
      </x:c>
      <x:c r="AD287" s="9" t="str">
        <x:v>Hard; prompt memorisation</x:v>
      </x:c>
      <x:c r="AE287" s="9" t="str">
        <x:v>Single ending each</x:v>
      </x:c>
      <x:c r="AF287" s="9" t="str">
        <x:v>PSX Data Center lists it as SLPS-00094, an early PS1 catalog number.</x:v>
      </x:c>
      <x:c r="AG287" s="9" t="str">
        <x:v>SLPS-00094</x:v>
      </x:c>
      <x:c r="AH287" s="9" t="str">
        <x:v>No</x:v>
      </x:c>
      <x:c r="AI287" s="9" t="str">
        <x:v>Import</x:v>
      </x:c>
      <x:c r="AJ287" s="9"/>
      <x:c r="AK287" s="9" t="str">
        <x:v>PlayStation JP release 20 October 1995 (Wikipedia, Road Blaster article).</x:v>
      </x:c>
      <x:c r="AL287" s="10" t="n">
        <x:v>39.06</x:v>
      </x:c>
      <x:c r="AM287" s="10" t="n">
        <x:v>47.43</x:v>
      </x:c>
      <x:c r="AN287" s="10" t="n">
        <x:v>123</x:v>
      </x:c>
      <x:c r="AO287" s="9" t="str">
        <x:v>2026-10-21</x:v>
      </x:c>
      <x:c r="AP287" s="11" t="str">
        <x:f>HYPERLINK("https://www.pricecharting.com/game/jp-playstation/thunder-storm-lx-3-&amp;-road-blaster","PriceCharting")</x:f>
        <x:v>PriceCharting</x:v>
      </x:c>
      <x:c r="AQ287" s="9"/>
      <x:c r="AR287" s="9"/>
      <x:c r="AS287" s="9"/>
      <x:c r="AT287" s="9"/>
      <x:c r="AU287" s="9"/>
      <x:c r="AV287" s="9"/>
      <x:c r="AW287" s="9"/>
      <x:c r="AX287" s="9"/>
      <x:c r="AY287" s="9"/>
      <x:c r="AZ287" s="9"/>
      <x:c r="BA287" s="11" t="str">
        <x:f>HYPERLINK("https://www.mobygames.com/search/?q=Thunder+Storm+%26+Road+Blaster","MobyGames")</x:f>
        <x:v>MobyGames</x:v>
      </x:c>
      <x:c r="BB287" s="9" t="str">
        <x:v>58%</x:v>
      </x:c>
      <x:c r="BC287" s="9" t="str">
        <x:v>average of 1 review on Wikipedia (Fam)</x:v>
      </x:c>
      <x:c r="BD287" s="9" t="str">
        <x:f>HYPERLINK("https://en.wikipedia.org/wiki/Road_Blaster","Source")</x:f>
        <x:v>Source</x:v>
      </x:c>
      <x:c r="BE287" s="11" t="str">
        <x:f>HYPERLINK("https://en.wikipedia.org/wiki/Road_Blaster","Wikipedia")</x:f>
        <x:v>Wikipedia</x:v>
      </x:c>
      <x:c r="BF287" s="11" t="str">
        <x:f>HYPERLINK("https://backloggd.com/search/games/Thunder%20Storm%20%26%20Road%20Blaster/","Backloggd")</x:f>
        <x:v>Backloggd</x:v>
      </x:c>
      <x:c r="BG287" s="9"/>
      <x:c r="BH287" s="9"/>
      <x:c r="BI287" s="12" t="str">
        <x:v>No</x:v>
      </x:c>
      <x:c r="BJ287" s="12" t="str"/>
      <x:c r="BK287" s="12" t="str">
        <x:v>No</x:v>
      </x:c>
      <x:c r="BL287" s="12" t="str"/>
      <x:c r="BM287" s="12" t="str"/>
      <x:c r="BN287" s="12" t="str"/>
      <x:c r="BO287" s="12" t="str"/>
      <x:c r="BP287" s="12" t="str"/>
      <x:c r="BQ287" s="12" t="str"/>
    </x:row>
    <x:row r="288">
      <x:c r="A288" s="9" t="str">
        <x:v>ps1-75</x:v>
      </x:c>
      <x:c r="B288" s="9" t="str">
        <x:v>kidou-senshi-gundam-0079-the-war-for-earth</x:v>
      </x:c>
      <x:c r="C288" s="9" t="str">
        <x:v>PlayStation</x:v>
      </x:c>
      <x:c r="D288" s="9" t="str">
        <x:v>Kidou Senshi Gundam 0079: The War for Earth</x:v>
      </x:c>
      <x:c r="E288" s="9" t="str">
        <x:v>機動戦士ガンダム0079 The War for Earth</x:v>
      </x:c>
      <x:c r="F288" s="9" t="str">
        <x:v>Presto Studios</x:v>
      </x:c>
      <x:c r="G288" s="9" t="str">
        <x:v>Bandai</x:v>
      </x:c>
      <x:c r="H288" s="9" t="n">
        <x:v>1997</x:v>
      </x:c>
      <x:c r="I288" s="9" t="str">
        <x:v>No</x:v>
      </x:c>
      <x:c r="J288" s="9" t="str">
        <x:v>Yes</x:v>
      </x:c>
      <x:c r="K288" s="9" t="str">
        <x:v>No</x:v>
      </x:c>
      <x:c r="L288" s="9" t="str">
        <x:v>No</x:v>
      </x:c>
      <x:c r="M288" s="9" t="str">
        <x:v>Live-action interactive movie</x:v>
      </x:c>
      <x:c r="N288" s="9" t="str">
        <x:v>Live-action + CG</x:v>
      </x:c>
      <x:c r="O288" s="9" t="n">
        <x:v>10</x:v>
      </x:c>
      <x:c r="P288" s="9" t="str">
        <x:v>Interactive movie</x:v>
      </x:c>
      <x:c r="Q288" s="9" t="str">
        <x:v>Released</x:v>
      </x:c>
      <x:c r="R288" s="9" t="str">
        <x:v>Original production set in Gundam's One Year War</x:v>
      </x:c>
      <x:c r="S288" s="9" t="str">
        <x:v>Windows, Mac, Apple Pippin</x:v>
      </x:c>
      <x:c r="T288" s="9" t="str">
        <x:v>American live-action cast (names verify)</x:v>
      </x:c>
      <x:c r="U288" s="9" t="n">
        <x:v>2</x:v>
      </x:c>
      <x:c r="V288" s="9" t="str">
        <x:v>Yes (memory card, 1 block)</x:v>
      </x:c>
      <x:c r="W288" s="9" t="str">
        <x:v>Standard controller; memory card (1 block)</x:v>
      </x:c>
      <x:c r="X288" s="9" t="str">
        <x:v>Low–Med</x:v>
      </x:c>
      <x:c r="Y288" s="9" t="str">
        <x:v>Gundam IP (Sunrise) footage</x:v>
      </x:c>
      <x:c r="Z288" s="9" t="str">
        <x:v>1 hr</x:v>
      </x:c>
      <x:c r="AA288" s="9" t="str">
        <x:v>Gundam as a Hollywood-style live-action FMV game by the makers of The Journeyman Project.</x:v>
      </x:c>
      <x:c r="AB288" s="9" t="str">
        <x:v>None known</x:v>
      </x:c>
      <x:c r="AC288" s="9" t="str">
        <x:v>Live-action video with CG mobile suits</x:v>
      </x:c>
      <x:c r="AD288" s="9" t="str">
        <x:v>Moderate; timed choices, instant deaths</x:v>
      </x:c>
      <x:c r="AE288" s="9" t="str">
        <x:v>Death scenes plus one good ending (verify)</x:v>
      </x:c>
      <x:c r="AF288" s="9" t="str">
        <x:v>Made by Presto Studios in San Diego with an American cast; the Japanese PS1 release carries an SCPS catalog number (SCPS-45045).</x:v>
      </x:c>
      <x:c r="AG288" s="9" t="str">
        <x:v>Unknown — verify</x:v>
      </x:c>
      <x:c r="AH288" s="9" t="str">
        <x:v>No</x:v>
      </x:c>
      <x:c r="AI288" s="9" t="str">
        <x:v>Import</x:v>
      </x:c>
      <x:c r="AJ288" s="9"/>
      <x:c r="AK288" s="9" t="str">
        <x:v>PlayStation release 2 May 1997 (Wikipedia).</x:v>
      </x:c>
      <x:c r="AL288" s="10" t="n">
        <x:v>12.23</x:v>
      </x:c>
      <x:c r="AM288" s="10" t="n">
        <x:v>14.84</x:v>
      </x:c>
      <x:c r="AN288" s="10" t="n">
        <x:v>39</x:v>
      </x:c>
      <x:c r="AO288" s="9" t="str">
        <x:v>2026-10-21</x:v>
      </x:c>
      <x:c r="AP288" s="11" t="str">
        <x:f>HYPERLINK("https://www.pricecharting.com/game/jp-playstation/gundam-0079-the-war-for-earth","PriceCharting")</x:f>
        <x:v>PriceCharting</x:v>
      </x:c>
      <x:c r="AQ288" s="9"/>
      <x:c r="AR288" s="9"/>
      <x:c r="AS288" s="9"/>
      <x:c r="AT288" s="9"/>
      <x:c r="AU288" s="9"/>
      <x:c r="AV288" s="9"/>
      <x:c r="AW288" s="9"/>
      <x:c r="AX288" s="9"/>
      <x:c r="AY288" s="9"/>
      <x:c r="AZ288" s="9"/>
      <x:c r="BA288" s="11" t="str">
        <x:f>HYPERLINK("https://www.mobygames.com/search/?q=Kidou+Senshi+Gundam+0079%3A+The+War+for+Earth","MobyGames")</x:f>
        <x:v>MobyGames</x:v>
      </x:c>
      <x:c r="BB288" s="9"/>
      <x:c r="BC288" s="9"/>
      <x:c r="BD288" s="9"/>
      <x:c r="BE288" s="11" t="str">
        <x:f>HYPERLINK("https://en.wikipedia.org/wiki/Gundam_0079:_The_War_for_Earth","Wikipedia")</x:f>
        <x:v>Wikipedia</x:v>
      </x:c>
      <x:c r="BF288" s="11" t="str">
        <x:f>HYPERLINK("https://backloggd.com/search/games/Kidou%20Senshi%20Gundam%200079%3A%20The%20War%20for%20Earth/","Backloggd")</x:f>
        <x:v>Backloggd</x:v>
      </x:c>
      <x:c r="BG288" s="9"/>
      <x:c r="BH288" s="9"/>
      <x:c r="BI288" s="12" t="str">
        <x:v>No</x:v>
      </x:c>
      <x:c r="BJ288" s="12" t="str"/>
      <x:c r="BK288" s="12" t="str">
        <x:v>No</x:v>
      </x:c>
      <x:c r="BL288" s="12" t="str"/>
      <x:c r="BM288" s="12" t="str"/>
      <x:c r="BN288" s="12" t="str"/>
      <x:c r="BO288" s="12" t="str"/>
      <x:c r="BP288" s="12" t="str"/>
      <x:c r="BQ288" s="12" t="str"/>
    </x:row>
    <x:row r="289">
      <x:c r="A289" s="9" t="str">
        <x:v>ps1-76</x:v>
      </x:c>
      <x:c r="B289" s="9" t="str">
        <x:v>night-head-the-labyrinth</x:v>
      </x:c>
      <x:c r="C289" s="9" t="str">
        <x:v>PlayStation</x:v>
      </x:c>
      <x:c r="D289" s="9" t="str">
        <x:v>Night Head: The Labyrinth</x:v>
      </x:c>
      <x:c r="E289" s="9" t="str">
        <x:v>NIGHT HEAD THE LABYRINTH</x:v>
      </x:c>
      <x:c r="F289" s="9" t="str">
        <x:v>Scitron &amp; Art</x:v>
      </x:c>
      <x:c r="G289" s="9" t="str">
        <x:v>Fuji Television</x:v>
      </x:c>
      <x:c r="H289" s="9" t="n">
        <x:v>1995</x:v>
      </x:c>
      <x:c r="I289" s="9" t="str">
        <x:v>No</x:v>
      </x:c>
      <x:c r="J289" s="9" t="str">
        <x:v>Yes</x:v>
      </x:c>
      <x:c r="K289" s="9" t="str">
        <x:v>No</x:v>
      </x:c>
      <x:c r="L289" s="9" t="str">
        <x:v>No</x:v>
      </x:c>
      <x:c r="M289" s="9" t="str">
        <x:v>Live-action psychic adventure</x:v>
      </x:c>
      <x:c r="N289" s="9" t="str">
        <x:v>Live-action</x:v>
      </x:c>
      <x:c r="O289" s="9" t="n">
        <x:v>9</x:v>
      </x:c>
      <x:c r="P289" s="9" t="str">
        <x:v>Interactive movie</x:v>
      </x:c>
      <x:c r="Q289" s="9" t="str">
        <x:v>Released</x:v>
      </x:c>
      <x:c r="R289" s="9" t="str">
        <x:v>Fuji TV drama Night Head (1992–93)</x:v>
      </x:c>
      <x:c r="S289" s="9" t="str">
        <x:v>Unknown — verify</x:v>
      </x:c>
      <x:c r="T289" s="9" t="str">
        <x:v>Etsushi Toyokawa, Shinji Takeda (TV leads; verify they appear)</x:v>
      </x:c>
      <x:c r="U289" s="9" t="n">
        <x:v>1</x:v>
      </x:c>
      <x:c r="V289" s="9" t="str">
        <x:v>Yes (memory card, 1 block)</x:v>
      </x:c>
      <x:c r="W289" s="9" t="str">
        <x:v>Standard controller; memory card (1 block)</x:v>
      </x:c>
      <x:c r="X289" s="9" t="str">
        <x:v>Med</x:v>
      </x:c>
      <x:c r="Y289" s="9" t="str">
        <x:v>Fuji TV drama footage and music</x:v>
      </x:c>
      <x:c r="Z289" s="9" t="str">
        <x:v>Unknown — verify</x:v>
      </x:c>
      <x:c r="AA289" s="9" t="str">
        <x:v>A playable spin-off of the cult psychic-brothers TV drama that launched Etsushi Toyokawa.</x:v>
      </x:c>
      <x:c r="AB289" s="9" t="str">
        <x:v>None known</x:v>
      </x:c>
      <x:c r="AC289" s="9" t="str">
        <x:v>Streamed live-action video (verify)</x:v>
      </x:c>
      <x:c r="AD289" s="9" t="str">
        <x:v>Unknown — verify</x:v>
      </x:c>
      <x:c r="AE289" s="9" t="str">
        <x:v>Unknown — verify</x:v>
      </x:c>
      <x:c r="AF289" s="9" t="str">
        <x:v>PSX Data Center lists it as SLPS-00111.</x:v>
      </x:c>
      <x:c r="AG289" s="9" t="str">
        <x:v>Unknown — verify</x:v>
      </x:c>
      <x:c r="AH289" s="9" t="str">
        <x:v>No</x:v>
      </x:c>
      <x:c r="AI289" s="9" t="str">
        <x:v>Import</x:v>
      </x:c>
      <x:c r="AJ289" s="9"/>
      <x:c r="AK289" s="9" t="str">
        <x:v>Released 17 November 1995, SLPS-00111 (PlayStation Datacenter).</x:v>
      </x:c>
      <x:c r="AL289" s="10"/>
      <x:c r="AM289" s="10" t="n">
        <x:v>3.86</x:v>
      </x:c>
      <x:c r="AN289" s="10" t="n">
        <x:v>45.2</x:v>
      </x:c>
      <x:c r="AO289" s="9" t="str">
        <x:v>2026-10-21</x:v>
      </x:c>
      <x:c r="AP289" s="11" t="str">
        <x:f>HYPERLINK("https://www.pricecharting.com/game/jp-playstation/night-head-the-labyrinth","PriceCharting")</x:f>
        <x:v>PriceCharting</x:v>
      </x:c>
      <x:c r="AQ289" s="9"/>
      <x:c r="AR289" s="9"/>
      <x:c r="AS289" s="9"/>
      <x:c r="AT289" s="9"/>
      <x:c r="AU289" s="9"/>
      <x:c r="AV289" s="9"/>
      <x:c r="AW289" s="9"/>
      <x:c r="AX289" s="9"/>
      <x:c r="AY289" s="9"/>
      <x:c r="AZ289" s="9"/>
      <x:c r="BA289" s="11" t="str">
        <x:f>HYPERLINK("https://www.mobygames.com/game/night-head-the-labyrinth","MobyGames")</x:f>
        <x:v>MobyGames</x:v>
      </x:c>
      <x:c r="BB289" s="9"/>
      <x:c r="BC289" s="9"/>
      <x:c r="BD289" s="9"/>
      <x:c r="BE289" s="9"/>
      <x:c r="BF289" s="11" t="str">
        <x:f>HYPERLINK("https://backloggd.com/search/games/Night%20Head%3A%20The%20Labyrinth/","Backloggd")</x:f>
        <x:v>Backloggd</x:v>
      </x:c>
      <x:c r="BG289" s="9"/>
      <x:c r="BH289" s="9"/>
      <x:c r="BI289" s="12" t="str">
        <x:v>No</x:v>
      </x:c>
      <x:c r="BJ289" s="12" t="str"/>
      <x:c r="BK289" s="12" t="str">
        <x:v>No</x:v>
      </x:c>
      <x:c r="BL289" s="12" t="str"/>
      <x:c r="BM289" s="12" t="str"/>
      <x:c r="BN289" s="12" t="str"/>
      <x:c r="BO289" s="12" t="str"/>
      <x:c r="BP289" s="12" t="str"/>
      <x:c r="BQ289" s="12" t="str"/>
    </x:row>
    <x:row r="290">
      <x:c r="A290" s="9" t="str">
        <x:v>ps1-77</x:v>
      </x:c>
      <x:c r="B290" s="9" t="str">
        <x:v>macross-do-you-remember-love</x:v>
      </x:c>
      <x:c r="C290" s="9" t="str">
        <x:v>PlayStation</x:v>
      </x:c>
      <x:c r="D290" s="9" t="str">
        <x:v>Choujikuu Yousai Macross: Ai Oboete Imasu ka</x:v>
      </x:c>
      <x:c r="E290" s="9" t="str">
        <x:v>超時空要塞マクロス 愛・おぼえていますか (Macross: Do You Remember Love?)</x:v>
      </x:c>
      <x:c r="F290" s="9" t="str">
        <x:v>Scarab</x:v>
      </x:c>
      <x:c r="G290" s="9" t="str">
        <x:v>Bandai Visual</x:v>
      </x:c>
      <x:c r="H290" s="9" t="n">
        <x:v>1999</x:v>
      </x:c>
      <x:c r="I290" s="9" t="str">
        <x:v>No</x:v>
      </x:c>
      <x:c r="J290" s="9" t="str">
        <x:v>Yes</x:v>
      </x:c>
      <x:c r="K290" s="9" t="str">
        <x:v>No</x:v>
      </x:c>
      <x:c r="L290" s="9" t="str">
        <x:v>No</x:v>
      </x:c>
      <x:c r="M290" s="9" t="str">
        <x:v>Shooter with anime FMV</x:v>
      </x:c>
      <x:c r="N290" s="9" t="str">
        <x:v>Animated</x:v>
      </x:c>
      <x:c r="O290" s="9" t="n">
        <x:v>3</x:v>
      </x:c>
      <x:c r="P290" s="9" t="str">
        <x:v>Cutscenes only</x:v>
      </x:c>
      <x:c r="Q290" s="9" t="str">
        <x:v>Released</x:v>
      </x:c>
      <x:c r="R290" s="9" t="str">
        <x:v>1984 anime film Macross: Do You Remember Love?</x:v>
      </x:c>
      <x:c r="S290" s="9" t="str">
        <x:v>Sega Saturn (1997)</x:v>
      </x:c>
      <x:c r="T290" s="9" t="str">
        <x:v>Film voice cast incl. Mari Iijima (Lynn Minmay)</x:v>
      </x:c>
      <x:c r="U290" s="9" t="n">
        <x:v>3</x:v>
      </x:c>
      <x:c r="V290" s="9" t="str">
        <x:v>Unknown — verify</x:v>
      </x:c>
      <x:c r="W290" s="9" t="str">
        <x:v>Memory card (blocks: verify)</x:v>
      </x:c>
      <x:c r="X290" s="9" t="str">
        <x:v>HIGH</x:v>
      </x:c>
      <x:c r="Y290" s="9" t="str">
        <x:v>Film footage and Mari Iijima songs ('Ai Oboete Imasu ka')</x:v>
      </x:c>
      <x:c r="Z290" s="9" t="str">
        <x:v>1–2 hr</x:v>
      </x:c>
      <x:c r="AA290" s="9" t="str">
        <x:v>Film clips from one of anime's most famous movies stitched between shooter stages.</x:v>
      </x:c>
      <x:c r="AB290" s="9" t="str">
        <x:v>None known</x:v>
      </x:c>
      <x:c r="AC290" s="9" t="str">
        <x:v>Full-screen film footage between stages</x:v>
      </x:c>
      <x:c r="AD290" s="9" t="str">
        <x:v>Moderate</x:v>
      </x:c>
      <x:c r="AE290" s="9" t="str">
        <x:v>Single ending</x:v>
      </x:c>
      <x:c r="AF290" s="9" t="str">
        <x:v>PS1 port of the 1997 Saturn game; includes newly animated scenes alongside film footage (verify).</x:v>
      </x:c>
      <x:c r="AG290" s="9" t="str">
        <x:v>Unknown — verify</x:v>
      </x:c>
      <x:c r="AH290" s="9" t="str">
        <x:v>No</x:v>
      </x:c>
      <x:c r="AI290" s="9" t="str">
        <x:v>Import</x:v>
      </x:c>
      <x:c r="AJ290" s="9"/>
      <x:c r="AK290" s="9" t="str">
        <x:v>Notable-cutscene inclusion: film FMV carries the story.</x:v>
      </x:c>
      <x:c r="AL290" s="10" t="n">
        <x:v>53.31</x:v>
      </x:c>
      <x:c r="AM290" s="10" t="n">
        <x:v>58.8</x:v>
      </x:c>
      <x:c r="AN290" s="10" t="n">
        <x:v>153</x:v>
      </x:c>
      <x:c r="AO290" s="9" t="str">
        <x:v>2026-10-21</x:v>
      </x:c>
      <x:c r="AP290" s="11" t="str">
        <x:f>HYPERLINK("https://www.pricecharting.com/game/jp-playstation/macross-do-you-remember-love","PriceCharting")</x:f>
        <x:v>PriceCharting</x:v>
      </x:c>
      <x:c r="AQ290" s="9"/>
      <x:c r="AR290" s="9"/>
      <x:c r="AS290" s="9"/>
      <x:c r="AT290" s="9"/>
      <x:c r="AU290" s="9"/>
      <x:c r="AV290" s="9"/>
      <x:c r="AW290" s="9"/>
      <x:c r="AX290" s="9"/>
      <x:c r="AY290" s="9"/>
      <x:c r="AZ290" s="9"/>
      <x:c r="BA290" s="11" t="str">
        <x:f>HYPERLINK("https://www.mobygames.com/game/57839","MobyGames")</x:f>
        <x:v>MobyGames</x:v>
      </x:c>
      <x:c r="BB290" s="9"/>
      <x:c r="BC290" s="9"/>
      <x:c r="BD290" s="9"/>
      <x:c r="BE290" s="11" t="str">
        <x:f>HYPERLINK("https://en.wikipedia.org/wiki/Macross:_Do_You_Remember_Love%3F_(video_game)","Wikipedia")</x:f>
        <x:v>Wikipedia</x:v>
      </x:c>
      <x:c r="BF290" s="11" t="str">
        <x:f>HYPERLINK("https://backloggd.com/search/games/Choujikuu%20Yousai%20Macross%3A%20Ai%20Oboete%20Imasu%20ka/","Backloggd")</x:f>
        <x:v>Backloggd</x:v>
      </x:c>
      <x:c r="BG290" s="9"/>
      <x:c r="BH290" s="9"/>
      <x:c r="BI290" s="12" t="str">
        <x:v>No</x:v>
      </x:c>
      <x:c r="BJ290" s="12" t="str"/>
      <x:c r="BK290" s="12" t="str">
        <x:v>No</x:v>
      </x:c>
      <x:c r="BL290" s="12" t="str"/>
      <x:c r="BM290" s="12" t="str"/>
      <x:c r="BN290" s="12" t="str"/>
      <x:c r="BO290" s="12" t="str"/>
      <x:c r="BP290" s="12" t="str"/>
      <x:c r="BQ290" s="12" t="str"/>
    </x:row>
    <x:row r="291">
      <x:c r="A291" s="9" t="str">
        <x:v>ps1-78</x:v>
      </x:c>
      <x:c r="B291" s="9" t="str">
        <x:v>kidou-senshi-z-gundam</x:v>
      </x:c>
      <x:c r="C291" s="9" t="str">
        <x:v>PlayStation</x:v>
      </x:c>
      <x:c r="D291" s="9" t="str">
        <x:v>Kidou Senshi Z Gundam</x:v>
      </x:c>
      <x:c r="E291" s="9" t="str">
        <x:v>機動戦士Ζガンダム</x:v>
      </x:c>
      <x:c r="F291" s="9" t="str">
        <x:v>Bandai</x:v>
      </x:c>
      <x:c r="G291" s="9" t="str">
        <x:v>Bandai</x:v>
      </x:c>
      <x:c r="H291" s="9" t="n">
        <x:v>1997</x:v>
      </x:c>
      <x:c r="I291" s="9" t="str">
        <x:v>No</x:v>
      </x:c>
      <x:c r="J291" s="9" t="str">
        <x:v>Yes</x:v>
      </x:c>
      <x:c r="K291" s="9" t="str">
        <x:v>No</x:v>
      </x:c>
      <x:c r="L291" s="9" t="str">
        <x:v>No</x:v>
      </x:c>
      <x:c r="M291" s="9" t="str">
        <x:v>3D mecha action with anime FMV</x:v>
      </x:c>
      <x:c r="N291" s="9" t="str">
        <x:v>Animated</x:v>
      </x:c>
      <x:c r="O291" s="9" t="n">
        <x:v>3</x:v>
      </x:c>
      <x:c r="P291" s="9" t="str">
        <x:v>Cutscenes only</x:v>
      </x:c>
      <x:c r="Q291" s="9" t="str">
        <x:v>Released</x:v>
      </x:c>
      <x:c r="R291" s="9" t="str">
        <x:v>Mobile Suit Zeta Gundam TV anime (1985)</x:v>
      </x:c>
      <x:c r="S291" s="9" t="str">
        <x:v>Sega Saturn (split as Zenpen: Zeta no Kodou and Kouhen: Uchuu o Kakeru)</x:v>
      </x:c>
      <x:c r="T291" s="9" t="str">
        <x:v>—</x:v>
      </x:c>
      <x:c r="U291" s="9" t="str">
        <x:v>Unknown — verify</x:v>
      </x:c>
      <x:c r="V291" s="9" t="str">
        <x:v>Unknown — verify</x:v>
      </x:c>
      <x:c r="W291" s="9" t="str">
        <x:v>Memory card (blocks: verify)</x:v>
      </x:c>
      <x:c r="X291" s="9" t="str">
        <x:v>HIGH</x:v>
      </x:c>
      <x:c r="Y291" s="9" t="str">
        <x:v>Zeta Gundam anime footage and opening songs</x:v>
      </x:c>
      <x:c r="Z291" s="9" t="str">
        <x:v>4–6 hr</x:v>
      </x:c>
      <x:c r="AA291" s="9" t="str">
        <x:v>Zeta Gundam's story retold through clips of the TV anime between 3D missions.</x:v>
      </x:c>
      <x:c r="AB291" s="9" t="str">
        <x:v>None known</x:v>
      </x:c>
      <x:c r="AC291" s="9" t="str">
        <x:v>Anime clips from the TV series</x:v>
      </x:c>
      <x:c r="AD291" s="9" t="str">
        <x:v>Moderate</x:v>
      </x:c>
      <x:c r="AE291" s="9" t="str">
        <x:v>Single ending</x:v>
      </x:c>
      <x:c r="AF291" s="9" t="str">
        <x:v>The Saturn release was split into two halves; the PS1 release is believed to cover both (verify).</x:v>
      </x:c>
      <x:c r="AG291" s="9" t="str">
        <x:v>Unknown — verify</x:v>
      </x:c>
      <x:c r="AH291" s="9" t="str">
        <x:v>No</x:v>
      </x:c>
      <x:c r="AI291" s="9" t="str">
        <x:v>Import</x:v>
      </x:c>
      <x:c r="AJ291" s="9"/>
      <x:c r="AK291" s="9" t="str">
        <x:v>Title ambiguity: confirm which PS1 release is meant and its disc count.</x:v>
      </x:c>
      <x:c r="AL291" s="10" t="n">
        <x:v>12.79</x:v>
      </x:c>
      <x:c r="AM291" s="10" t="n">
        <x:v>14.09</x:v>
      </x:c>
      <x:c r="AN291" s="10" t="n">
        <x:v>37</x:v>
      </x:c>
      <x:c r="AO291" s="9" t="str">
        <x:v>2026-10-21</x:v>
      </x:c>
      <x:c r="AP291" s="11" t="str">
        <x:f>HYPERLINK("https://www.pricecharting.com/game/jp-playstation/mobile-suit-z-gundam","PriceCharting")</x:f>
        <x:v>PriceCharting</x:v>
      </x:c>
      <x:c r="AQ291" s="9"/>
      <x:c r="AR291" s="9"/>
      <x:c r="AS291" s="9"/>
      <x:c r="AT291" s="9"/>
      <x:c r="AU291" s="9"/>
      <x:c r="AV291" s="9"/>
      <x:c r="AW291" s="9"/>
      <x:c r="AX291" s="9"/>
      <x:c r="AY291" s="9"/>
      <x:c r="AZ291" s="9"/>
      <x:c r="BA291" s="11" t="str">
        <x:f>HYPERLINK("https://www.mobygames.com/search/?q=Kidou+Senshi+Z+Gundam","MobyGames")</x:f>
        <x:v>MobyGames</x:v>
      </x:c>
      <x:c r="BB291" s="9"/>
      <x:c r="BC291" s="9"/>
      <x:c r="BD291" s="9"/>
      <x:c r="BE291" s="9"/>
      <x:c r="BF291" s="11" t="str">
        <x:f>HYPERLINK("https://backloggd.com/search/games/Kidou%20Senshi%20Z%20Gundam/","Backloggd")</x:f>
        <x:v>Backloggd</x:v>
      </x:c>
      <x:c r="BG291" s="9"/>
      <x:c r="BH291" s="9"/>
      <x:c r="BI291" s="12" t="str">
        <x:v>No</x:v>
      </x:c>
      <x:c r="BJ291" s="12" t="str"/>
      <x:c r="BK291" s="12" t="str">
        <x:v>No</x:v>
      </x:c>
      <x:c r="BL291" s="12" t="str"/>
      <x:c r="BM291" s="12" t="str"/>
      <x:c r="BN291" s="12" t="str"/>
      <x:c r="BO291" s="12" t="str"/>
      <x:c r="BP291" s="12" t="str"/>
      <x:c r="BQ291" s="12" t="str"/>
    </x:row>
    <x:row r="292">
      <x:c r="A292" s="9" t="str">
        <x:v>ps1-79</x:v>
      </x:c>
      <x:c r="B292" s="9" t="str">
        <x:v>kidou-senshi-gundam-gyakushuu-no-char</x:v>
      </x:c>
      <x:c r="C292" s="9" t="str">
        <x:v>PlayStation</x:v>
      </x:c>
      <x:c r="D292" s="9" t="str">
        <x:v>Kidou Senshi Gundam: Gyakushuu no Char</x:v>
      </x:c>
      <x:c r="E292" s="9" t="str">
        <x:v>機動戦士ガンダム 逆襲のシャア (Mobile Suit Gundam: Char's Counterattack)</x:v>
      </x:c>
      <x:c r="F292" s="9" t="str">
        <x:v>Bandai</x:v>
      </x:c>
      <x:c r="G292" s="9" t="str">
        <x:v>Bandai</x:v>
      </x:c>
      <x:c r="H292" s="9" t="n">
        <x:v>1998</x:v>
      </x:c>
      <x:c r="I292" s="9" t="str">
        <x:v>No</x:v>
      </x:c>
      <x:c r="J292" s="9" t="str">
        <x:v>Yes</x:v>
      </x:c>
      <x:c r="K292" s="9" t="str">
        <x:v>No</x:v>
      </x:c>
      <x:c r="L292" s="9" t="str">
        <x:v>No</x:v>
      </x:c>
      <x:c r="M292" s="9" t="str">
        <x:v>3D mecha action with anime FMV</x:v>
      </x:c>
      <x:c r="N292" s="9" t="str">
        <x:v>Animated</x:v>
      </x:c>
      <x:c r="O292" s="9" t="n">
        <x:v>3</x:v>
      </x:c>
      <x:c r="P292" s="9" t="str">
        <x:v>Cutscenes only</x:v>
      </x:c>
      <x:c r="Q292" s="9" t="str">
        <x:v>Released</x:v>
      </x:c>
      <x:c r="R292" s="9" t="str">
        <x:v>1988 anime film Char's Counterattack</x:v>
      </x:c>
      <x:c r="S292" s="9" t="str">
        <x:v>—</x:v>
      </x:c>
      <x:c r="T292" s="9" t="str">
        <x:v>—</x:v>
      </x:c>
      <x:c r="U292" s="9" t="str">
        <x:v>Unknown — verify</x:v>
      </x:c>
      <x:c r="V292" s="9" t="str">
        <x:v>Unknown — verify</x:v>
      </x:c>
      <x:c r="W292" s="9" t="str">
        <x:v>Memory card (blocks: verify)</x:v>
      </x:c>
      <x:c r="X292" s="9" t="str">
        <x:v>HIGH</x:v>
      </x:c>
      <x:c r="Y292" s="9" t="str">
        <x:v>Film footage and TM Network theme 'Beyond the Time'</x:v>
      </x:c>
      <x:c r="Z292" s="9" t="str">
        <x:v>3–5 hr</x:v>
      </x:c>
      <x:c r="AA292" s="9" t="str">
        <x:v>Clips from the climactic Amuro vs. Char film tie the 3D missions together.</x:v>
      </x:c>
      <x:c r="AB292" s="9" t="str">
        <x:v>None known</x:v>
      </x:c>
      <x:c r="AC292" s="9" t="str">
        <x:v>Film clips between missions</x:v>
      </x:c>
      <x:c r="AD292" s="9" t="str">
        <x:v>Moderate</x:v>
      </x:c>
      <x:c r="AE292" s="9" t="str">
        <x:v>Single ending</x:v>
      </x:c>
      <x:c r="AF292" s="9" t="str">
        <x:v>PSX Data Center lists SLPS-01724 and a Bandai the Best reissue SLPS-03259.</x:v>
      </x:c>
      <x:c r="AG292" s="9" t="str">
        <x:v>SLPS-01724; Bandai the Best SLPS-03259</x:v>
      </x:c>
      <x:c r="AH292" s="9" t="str">
        <x:v>No</x:v>
      </x:c>
      <x:c r="AI292" s="9" t="str">
        <x:v>Import</x:v>
      </x:c>
      <x:c r="AJ292" s="9"/>
      <x:c r="AK292" s="9" t="str"/>
      <x:c r="AL292" s="10" t="n">
        <x:v>10</x:v>
      </x:c>
      <x:c r="AM292" s="10" t="n">
        <x:v>12.86</x:v>
      </x:c>
      <x:c r="AN292" s="10" t="n">
        <x:v>15.5</x:v>
      </x:c>
      <x:c r="AO292" s="9" t="str">
        <x:v>2026-10-21</x:v>
      </x:c>
      <x:c r="AP292" s="11" t="str">
        <x:f>HYPERLINK("https://www.pricecharting.com/game/jp-playstation/mobile-suit-gundam-char%27s-counterattack","PriceCharting")</x:f>
        <x:v>PriceCharting</x:v>
      </x:c>
      <x:c r="AQ292" s="9"/>
      <x:c r="AR292" s="9"/>
      <x:c r="AS292" s="9"/>
      <x:c r="AT292" s="9"/>
      <x:c r="AU292" s="9"/>
      <x:c r="AV292" s="9"/>
      <x:c r="AW292" s="9"/>
      <x:c r="AX292" s="9"/>
      <x:c r="AY292" s="9"/>
      <x:c r="AZ292" s="9"/>
      <x:c r="BA292" s="11" t="str">
        <x:f>HYPERLINK("https://www.mobygames.com/search/?q=Kidou+Senshi+Gundam%3A+Gyakushuu+no+Char","MobyGames")</x:f>
        <x:v>MobyGames</x:v>
      </x:c>
      <x:c r="BB292" s="9"/>
      <x:c r="BC292" s="9"/>
      <x:c r="BD292" s="9"/>
      <x:c r="BE292" s="9"/>
      <x:c r="BF292" s="11" t="str">
        <x:f>HYPERLINK("https://backloggd.com/search/games/Kidou%20Senshi%20Gundam%3A%20Gyakushuu%20no%20Char/","Backloggd")</x:f>
        <x:v>Backloggd</x:v>
      </x:c>
      <x:c r="BG292" s="9"/>
      <x:c r="BH292" s="9"/>
      <x:c r="BI292" s="12" t="str">
        <x:v>No</x:v>
      </x:c>
      <x:c r="BJ292" s="12" t="str"/>
      <x:c r="BK292" s="12" t="str">
        <x:v>No</x:v>
      </x:c>
      <x:c r="BL292" s="12" t="str"/>
      <x:c r="BM292" s="12" t="str"/>
      <x:c r="BN292" s="12" t="str"/>
      <x:c r="BO292" s="12" t="str"/>
      <x:c r="BP292" s="12" t="str"/>
      <x:c r="BQ292" s="12" t="str"/>
    </x:row>
    <x:row r="293">
      <x:c r="A293" s="9" t="str">
        <x:v>ps1-80</x:v>
      </x:c>
      <x:c r="B293" s="9" t="str">
        <x:v>kidou-senshi-gundam-playstation</x:v>
      </x:c>
      <x:c r="C293" s="9" t="str">
        <x:v>PlayStation</x:v>
      </x:c>
      <x:c r="D293" s="9" t="str">
        <x:v>Kidou Senshi Gundam (1995 Bandai)</x:v>
      </x:c>
      <x:c r="E293" s="9" t="str">
        <x:v>機動戦士ガンダム (Mobile Suit Gundam, 1995)</x:v>
      </x:c>
      <x:c r="F293" s="9" t="str">
        <x:v>Bandai</x:v>
      </x:c>
      <x:c r="G293" s="9" t="str">
        <x:v>Bandai</x:v>
      </x:c>
      <x:c r="H293" s="9" t="n">
        <x:v>1995</x:v>
      </x:c>
      <x:c r="I293" s="9" t="str">
        <x:v>No</x:v>
      </x:c>
      <x:c r="J293" s="9" t="str">
        <x:v>Yes</x:v>
      </x:c>
      <x:c r="K293" s="9" t="str">
        <x:v>No</x:v>
      </x:c>
      <x:c r="L293" s="9" t="str">
        <x:v>No</x:v>
      </x:c>
      <x:c r="M293" s="9" t="str">
        <x:v>First-person 3D mecha shooter</x:v>
      </x:c>
      <x:c r="N293" s="9" t="str">
        <x:v>Animated</x:v>
      </x:c>
      <x:c r="O293" s="9" t="n">
        <x:v>3</x:v>
      </x:c>
      <x:c r="P293" s="9" t="str">
        <x:v>Cutscenes only</x:v>
      </x:c>
      <x:c r="Q293" s="9" t="str">
        <x:v>Released</x:v>
      </x:c>
      <x:c r="R293" s="9" t="str">
        <x:v>Mobile Suit Gundam anime films</x:v>
      </x:c>
      <x:c r="S293" s="9" t="str">
        <x:v>—</x:v>
      </x:c>
      <x:c r="T293" s="9" t="str">
        <x:v>—</x:v>
      </x:c>
      <x:c r="U293" s="9" t="n">
        <x:v>1</x:v>
      </x:c>
      <x:c r="V293" s="9" t="str">
        <x:v>Unknown — verify</x:v>
      </x:c>
      <x:c r="W293" s="9" t="str">
        <x:v>Memory card (blocks: verify)</x:v>
      </x:c>
      <x:c r="X293" s="9" t="str">
        <x:v>HIGH</x:v>
      </x:c>
      <x:c r="Y293" s="9" t="str">
        <x:v>Gundam film footage and songs</x:v>
      </x:c>
      <x:c r="Z293" s="9" t="str">
        <x:v>2–3 hr</x:v>
      </x:c>
      <x:c r="AA293" s="9" t="str">
        <x:v>One of the PS1's first games: pilot the RX-78 in first person while the original anime plays between missions.</x:v>
      </x:c>
      <x:c r="AB293" s="9" t="str">
        <x:v>None known</x:v>
      </x:c>
      <x:c r="AC293" s="9" t="str">
        <x:v>Anime clips between missions</x:v>
      </x:c>
      <x:c r="AD293" s="9" t="str">
        <x:v>Moderate–Hard</x:v>
      </x:c>
      <x:c r="AE293" s="9" t="str">
        <x:v>Single ending</x:v>
      </x:c>
      <x:c r="AF293" s="9" t="str">
        <x:v>Followed by Mobile Suit Gundam Ver. 2.0 (1996); PlayStation the Best reissue SLPS-91011.</x:v>
      </x:c>
      <x:c r="AG293" s="9" t="str">
        <x:v>SLPS-00035; PlayStation the Best SLPS-91011</x:v>
      </x:c>
      <x:c r="AH293" s="9" t="str">
        <x:v>No</x:v>
      </x:c>
      <x:c r="AI293" s="9" t="str">
        <x:v>Import</x:v>
      </x:c>
      <x:c r="AJ293" s="9"/>
      <x:c r="AK293" s="9" t="str"/>
      <x:c r="AL293" s="10" t="n">
        <x:v>5.99</x:v>
      </x:c>
      <x:c r="AM293" s="10" t="n">
        <x:v>8.18</x:v>
      </x:c>
      <x:c r="AN293" s="10" t="n">
        <x:v>21</x:v>
      </x:c>
      <x:c r="AO293" s="9" t="str">
        <x:v>2026-10-21</x:v>
      </x:c>
      <x:c r="AP293" s="11" t="str">
        <x:f>HYPERLINK("https://www.pricecharting.com/game/jp-playstation/mobile-suit-gundam","PriceCharting")</x:f>
        <x:v>PriceCharting</x:v>
      </x:c>
      <x:c r="AQ293" s="9"/>
      <x:c r="AR293" s="9"/>
      <x:c r="AS293" s="9"/>
      <x:c r="AT293" s="9"/>
      <x:c r="AU293" s="9"/>
      <x:c r="AV293" s="9"/>
      <x:c r="AW293" s="9"/>
      <x:c r="AX293" s="9"/>
      <x:c r="AY293" s="9"/>
      <x:c r="AZ293" s="9"/>
      <x:c r="BA293" s="11" t="str">
        <x:f>HYPERLINK("https://www.mobygames.com/search/?q=Kidou+Senshi+Gundam+%281995+Bandai%29","MobyGames")</x:f>
        <x:v>MobyGames</x:v>
      </x:c>
      <x:c r="BB293" s="9" t="str">
        <x:v>59%</x:v>
      </x:c>
      <x:c r="BC293" s="9" t="str">
        <x:v>average of 7 reviews on Wikipedia (Fam, Game Power, Gamers, NGen, Super GamePower, Ultimate Future Games, Ultimate Gamer)</x:v>
      </x:c>
      <x:c r="BD293" s="9" t="str">
        <x:f>HYPERLINK("https://en.wikipedia.org/wiki/Mobile_Suit_Gundam_%281995_video_game%29","Source")</x:f>
        <x:v>Source</x:v>
      </x:c>
      <x:c r="BE293" s="11" t="str">
        <x:f>HYPERLINK("https://en.wikipedia.org/wiki/Mobile_Suit_Gundam_(1995_video_game)","Wikipedia")</x:f>
        <x:v>Wikipedia</x:v>
      </x:c>
      <x:c r="BF293" s="11" t="str">
        <x:f>HYPERLINK("https://backloggd.com/search/games/Kidou%20Senshi%20Gundam%20%281995%20Bandai%29/","Backloggd")</x:f>
        <x:v>Backloggd</x:v>
      </x:c>
      <x:c r="BG293" s="9"/>
      <x:c r="BH293" s="9"/>
      <x:c r="BI293" s="12" t="str">
        <x:v>No</x:v>
      </x:c>
      <x:c r="BJ293" s="12" t="str"/>
      <x:c r="BK293" s="12" t="str">
        <x:v>No</x:v>
      </x:c>
      <x:c r="BL293" s="12" t="str"/>
      <x:c r="BM293" s="12" t="str"/>
      <x:c r="BN293" s="12" t="str"/>
      <x:c r="BO293" s="12" t="str"/>
      <x:c r="BP293" s="12" t="str"/>
      <x:c r="BQ293" s="12" t="str"/>
    </x:row>
    <x:row r="294">
      <x:c r="A294" s="9" t="str">
        <x:v>ps1-81</x:v>
      </x:c>
      <x:c r="B294" s="9" t="str">
        <x:v>ghost-in-the-shell</x:v>
      </x:c>
      <x:c r="C294" s="9" t="str">
        <x:v>PlayStation</x:v>
      </x:c>
      <x:c r="D294" s="9" t="str">
        <x:v>Ghost in the Shell</x:v>
      </x:c>
      <x:c r="E294" s="9" t="str">
        <x:v>攻殻機動隊 GHOST IN THE SHELL</x:v>
      </x:c>
      <x:c r="F294" s="9" t="str">
        <x:v>Exact</x:v>
      </x:c>
      <x:c r="G294" s="9" t="str">
        <x:v>THQ (NA), SCE (JP), SCE Europe (EU)</x:v>
      </x:c>
      <x:c r="H294" s="9" t="n">
        <x:v>1997</x:v>
      </x:c>
      <x:c r="I294" s="9" t="str">
        <x:v>Yes</x:v>
      </x:c>
      <x:c r="J294" s="9" t="str">
        <x:v>Yes</x:v>
      </x:c>
      <x:c r="K294" s="9" t="str">
        <x:v>Yes</x:v>
      </x:c>
      <x:c r="L294" s="9" t="str">
        <x:v>No</x:v>
      </x:c>
      <x:c r="M294" s="9" t="str">
        <x:v>3D action shooter</x:v>
      </x:c>
      <x:c r="N294" s="9" t="str">
        <x:v>Animated</x:v>
      </x:c>
      <x:c r="O294" s="9" t="n">
        <x:v>2</x:v>
      </x:c>
      <x:c r="P294" s="9" t="str">
        <x:v>Cutscenes only</x:v>
      </x:c>
      <x:c r="Q294" s="9" t="str">
        <x:v>Released</x:v>
      </x:c>
      <x:c r="R294" s="9" t="str">
        <x:v>Masamune Shirow's manga; new anime by Production I.G</x:v>
      </x:c>
      <x:c r="S294" s="9" t="str">
        <x:v>—</x:v>
      </x:c>
      <x:c r="T294" s="9" t="str">
        <x:v>—</x:v>
      </x:c>
      <x:c r="U294" s="9" t="n">
        <x:v>1</x:v>
      </x:c>
      <x:c r="V294" s="9" t="str">
        <x:v>Yes</x:v>
      </x:c>
      <x:c r="W294" s="9" t="str">
        <x:v>Standard controller; memory card (1-3 blocks)</x:v>
      </x:c>
      <x:c r="X294" s="9" t="str">
        <x:v>Med</x:v>
      </x:c>
      <x:c r="Y294" s="9" t="str">
        <x:v>Techno soundtrack (Takkyu Ishino and others) and Production I.G animation</x:v>
      </x:c>
      <x:c r="Z294" s="9" t="str">
        <x:v>3–4 hr</x:v>
      </x:c>
      <x:c r="AA294" s="9" t="str">
        <x:v>Production I.G made original anime cutscenes for it between the 1995 film and the TV series.</x:v>
      </x:c>
      <x:c r="AB294" s="9" t="str">
        <x:v>None known</x:v>
      </x:c>
      <x:c r="AC294" s="9" t="str">
        <x:v>Full-screen anime cutscenes</x:v>
      </x:c>
      <x:c r="AD294" s="9" t="str">
        <x:v>Moderate</x:v>
      </x:c>
      <x:c r="AE294" s="9" t="str">
        <x:v>Single ending</x:v>
      </x:c>
      <x:c r="AF294" s="9" t="str">
        <x:v>The anime sequences were produced by Production I.G, the studio behind the 1995 film.</x:v>
      </x:c>
      <x:c r="AG294" s="9" t="str">
        <x:v>Unknown — verify</x:v>
      </x:c>
      <x:c r="AH294" s="9" t="str">
        <x:v>No</x:v>
      </x:c>
      <x:c r="AI294" s="9" t="str">
        <x:v>Expensive</x:v>
      </x:c>
      <x:c r="AJ294" s="9"/>
      <x:c r="AK294" s="9" t="str">
        <x:v>Notable-cutscene inclusion.</x:v>
      </x:c>
      <x:c r="AL294" s="10" t="n">
        <x:v>118.75</x:v>
      </x:c>
      <x:c r="AM294" s="10" t="n">
        <x:v>273.15</x:v>
      </x:c>
      <x:c r="AN294" s="10" t="n">
        <x:v>590</x:v>
      </x:c>
      <x:c r="AO294" s="9" t="str">
        <x:v>2026-10-21</x:v>
      </x:c>
      <x:c r="AP294" s="11" t="str">
        <x:f>HYPERLINK("https://www.pricecharting.com/game/playstation/ghost-in-the-shell","PriceCharting")</x:f>
        <x:v>PriceCharting</x:v>
      </x:c>
      <x:c r="AQ294" s="9"/>
      <x:c r="AR294" s="9"/>
      <x:c r="AS294" s="9"/>
      <x:c r="AT294" s="9"/>
      <x:c r="AU294" s="9"/>
      <x:c r="AV294" s="9"/>
      <x:c r="AW294" s="9"/>
      <x:c r="AX294" s="9"/>
      <x:c r="AY294" s="9"/>
      <x:c r="AZ294" s="9"/>
      <x:c r="BA294" s="11" t="str">
        <x:f>HYPERLINK("https://www.mobygames.com/search/?q=Ghost+in+the+Shell","MobyGames")</x:f>
        <x:v>MobyGames</x:v>
      </x:c>
      <x:c r="BB294" s="9" t="str">
        <x:v>75%</x:v>
      </x:c>
      <x:c r="BC294" s="9" t="str">
        <x:v>average of 14 reviews on Wikipedia (Allgame, CVG, Dengeki PlayStation, EGM, Edge, Fam, GSpot, GameFan, Hyper, IGN, NGen, NowGamer, SGP, Velikij Drakon)</x:v>
      </x:c>
      <x:c r="BD294" s="9" t="str">
        <x:f>HYPERLINK("https://en.wikipedia.org/wiki/Ghost_in_the_Shell_%28video_game%29","Source")</x:f>
        <x:v>Source</x:v>
      </x:c>
      <x:c r="BE294" s="11" t="str">
        <x:f>HYPERLINK("https://en.wikipedia.org/wiki/Ghost_in_the_Shell_(video_game)","Wikipedia")</x:f>
        <x:v>Wikipedia</x:v>
      </x:c>
      <x:c r="BF294" s="11" t="str">
        <x:f>HYPERLINK("https://backloggd.com/search/games/Ghost%20in%20the%20Shell/","Backloggd")</x:f>
        <x:v>Backloggd</x:v>
      </x:c>
      <x:c r="BG294" s="9"/>
      <x:c r="BH294" s="9"/>
      <x:c r="BI294" s="12" t="str">
        <x:v>No</x:v>
      </x:c>
      <x:c r="BJ294" s="12" t="str"/>
      <x:c r="BK294" s="12" t="str">
        <x:v>No</x:v>
      </x:c>
      <x:c r="BL294" s="12" t="str"/>
      <x:c r="BM294" s="12" t="str"/>
      <x:c r="BN294" s="12" t="str"/>
      <x:c r="BO294" s="12" t="str"/>
      <x:c r="BP294" s="12" t="str"/>
      <x:c r="BQ294" s="12" t="str"/>
    </x:row>
    <x:row r="295">
      <x:c r="A295" s="9" t="str">
        <x:v>ps1-82</x:v>
      </x:c>
      <x:c r="B295" s="9" t="str">
        <x:v>policenauts</x:v>
      </x:c>
      <x:c r="C295" s="9" t="str">
        <x:v>PlayStation</x:v>
      </x:c>
      <x:c r="D295" s="9" t="str">
        <x:v>Policenauts</x:v>
      </x:c>
      <x:c r="E295" s="9" t="str">
        <x:v>ポリスノーツ</x:v>
      </x:c>
      <x:c r="F295" s="9" t="str">
        <x:v>Konami (Hideo Kojima)</x:v>
      </x:c>
      <x:c r="G295" s="9" t="str">
        <x:v>Konami</x:v>
      </x:c>
      <x:c r="H295" s="9" t="n">
        <x:v>1996</x:v>
      </x:c>
      <x:c r="I295" s="9" t="str">
        <x:v>No</x:v>
      </x:c>
      <x:c r="J295" s="9" t="str">
        <x:v>Yes</x:v>
      </x:c>
      <x:c r="K295" s="9" t="str">
        <x:v>No</x:v>
      </x:c>
      <x:c r="L295" s="9" t="str">
        <x:v>No</x:v>
      </x:c>
      <x:c r="M295" s="9" t="str">
        <x:v>Adventure</x:v>
      </x:c>
      <x:c r="N295" s="9" t="str">
        <x:v>Animated</x:v>
      </x:c>
      <x:c r="O295" s="9" t="n">
        <x:v>3</x:v>
      </x:c>
      <x:c r="P295" s="9" t="str">
        <x:v>Cutscenes only</x:v>
      </x:c>
      <x:c r="Q295" s="9" t="str">
        <x:v>Released</x:v>
      </x:c>
      <x:c r="R295" s="9" t="str">
        <x:v>Original (PC-9821, 1994)</x:v>
      </x:c>
      <x:c r="S295" s="9" t="str">
        <x:v>PC-9821, 3DO, Sega Saturn</x:v>
      </x:c>
      <x:c r="T295" s="9" t="str">
        <x:v>—</x:v>
      </x:c>
      <x:c r="U295" s="9" t="n">
        <x:v>3</x:v>
      </x:c>
      <x:c r="V295" s="9" t="str">
        <x:v>Yes</x:v>
      </x:c>
      <x:c r="W295" s="9" t="str">
        <x:v>Standard controller; PlayStation Mouse; memory card (3 blocks)</x:v>
      </x:c>
      <x:c r="X295" s="9" t="str">
        <x:v>Low–Med</x:v>
      </x:c>
      <x:c r="Y295" s="9" t="str">
        <x:v>Theme songs</x:v>
      </x:c>
      <x:c r="Z295" s="9" t="str">
        <x:v>10–12 hr</x:v>
      </x:c>
      <x:c r="AA295" s="9" t="str">
        <x:v>Kojima's space-colony noir between Snatcher and Metal Gear Solid, with anime cutscenes telling much of the story.</x:v>
      </x:c>
      <x:c r="AB295" s="9" t="str">
        <x:v>None known</x:v>
      </x:c>
      <x:c r="AC295" s="9" t="str">
        <x:v>Animated FMV cutscenes</x:v>
      </x:c>
      <x:c r="AD295" s="9" t="str">
        <x:v>Easy; occasional shooting sections</x:v>
      </x:c>
      <x:c r="AE295" s="9" t="str">
        <x:v>Single ending</x:v>
      </x:c>
      <x:c r="AF295" s="9" t="str">
        <x:v>The 2009 English fan translation targets the PS1 version.</x:v>
      </x:c>
      <x:c r="AG295" s="9" t="str">
        <x:v>PlayStation the Best reissue (verify)</x:v>
      </x:c>
      <x:c r="AH295" s="9" t="str">
        <x:v>No (fan translation only)</x:v>
      </x:c>
      <x:c r="AI295" s="9" t="str">
        <x:v>Import</x:v>
      </x:c>
      <x:c r="AJ295" s="9"/>
      <x:c r="AK295" s="9" t="str">
        <x:v>Notable-cutscene inclusion per SCOPE. Disc count from memory (verify).</x:v>
      </x:c>
      <x:c r="AL295" s="10" t="n">
        <x:v>32.32</x:v>
      </x:c>
      <x:c r="AM295" s="10" t="n">
        <x:v>36.79</x:v>
      </x:c>
      <x:c r="AN295" s="10" t="n">
        <x:v>114.07</x:v>
      </x:c>
      <x:c r="AO295" s="9" t="str">
        <x:v>2026-10-21</x:v>
      </x:c>
      <x:c r="AP295" s="11" t="str">
        <x:f>HYPERLINK("https://www.pricecharting.com/game/jp-playstation/policenauts","PriceCharting")</x:f>
        <x:v>PriceCharting</x:v>
      </x:c>
      <x:c r="AQ295" s="9"/>
      <x:c r="AR295" s="9"/>
      <x:c r="AS295" s="9"/>
      <x:c r="AT295" s="9"/>
      <x:c r="AU295" s="9"/>
      <x:c r="AV295" s="9"/>
      <x:c r="AW295" s="9"/>
      <x:c r="AX295" s="9"/>
      <x:c r="AY295" s="9"/>
      <x:c r="AZ295" s="9" t="str">
        <x:v>3.9</x:v>
      </x:c>
      <x:c r="BA295" s="11" t="str">
        <x:f>HYPERLINK("https://www.mobygames.com/search/?q=Policenauts","MobyGames")</x:f>
        <x:v>MobyGames</x:v>
      </x:c>
      <x:c r="BB295" s="9" t="str">
        <x:v>83%</x:v>
      </x:c>
      <x:c r="BC295" s="9" t="str">
        <x:v>average of 3 reviews on Wikipedia (GameFan, Famitsu, Dengeki PlayStation)</x:v>
      </x:c>
      <x:c r="BD295" s="9" t="str">
        <x:f>HYPERLINK("https://en.wikipedia.org/wiki/Policenauts","Source")</x:f>
        <x:v>Source</x:v>
      </x:c>
      <x:c r="BE295" s="11" t="str">
        <x:f>HYPERLINK("https://en.wikipedia.org/wiki/Policenauts","Wikipedia")</x:f>
        <x:v>Wikipedia</x:v>
      </x:c>
      <x:c r="BF295" s="11" t="str">
        <x:f>HYPERLINK("https://backloggd.com/search/games/Policenauts/","Backloggd")</x:f>
        <x:v>Backloggd</x:v>
      </x:c>
      <x:c r="BG295" s="9"/>
      <x:c r="BH295" s="9"/>
      <x:c r="BI295" s="12" t="str">
        <x:v>No</x:v>
      </x:c>
      <x:c r="BJ295" s="12" t="str"/>
      <x:c r="BK295" s="12" t="str">
        <x:v>No</x:v>
      </x:c>
      <x:c r="BL295" s="12" t="str"/>
      <x:c r="BM295" s="12" t="str"/>
      <x:c r="BN295" s="12" t="str"/>
      <x:c r="BO295" s="12" t="str"/>
      <x:c r="BP295" s="12" t="str"/>
      <x:c r="BQ295" s="12" t="str"/>
    </x:row>
    <x:row r="296">
      <x:c r="A296" s="9" t="str">
        <x:v>ps1-83</x:v>
      </x:c>
      <x:c r="B296" s="9" t="str">
        <x:v>return-to-zork</x:v>
      </x:c>
      <x:c r="C296" s="9" t="str">
        <x:v>PlayStation</x:v>
      </x:c>
      <x:c r="D296" s="9" t="str">
        <x:v>Return to Zork</x:v>
      </x:c>
      <x:c r="E296" s="9" t="str">
        <x:v>リターン・トゥ・ゾーク</x:v>
      </x:c>
      <x:c r="F296" s="9" t="str">
        <x:v>Activision</x:v>
      </x:c>
      <x:c r="G296" s="9" t="str">
        <x:v>Bandai Visual (Emotion Digital Software)</x:v>
      </x:c>
      <x:c r="H296" s="9" t="n">
        <x:v>1996</x:v>
      </x:c>
      <x:c r="I296" s="9" t="str">
        <x:v>No</x:v>
      </x:c>
      <x:c r="J296" s="9" t="str">
        <x:v>Yes</x:v>
      </x:c>
      <x:c r="K296" s="9" t="str">
        <x:v>No</x:v>
      </x:c>
      <x:c r="L296" s="9" t="str">
        <x:v>No</x:v>
      </x:c>
      <x:c r="M296" s="9" t="str">
        <x:v>Adventure</x:v>
      </x:c>
      <x:c r="N296" s="9" t="str">
        <x:v>Live-action</x:v>
      </x:c>
      <x:c r="O296" s="9" t="n">
        <x:v>5</x:v>
      </x:c>
      <x:c r="P296" s="9" t="str">
        <x:v>FMV adventure</x:v>
      </x:c>
      <x:c r="Q296" s="9" t="str">
        <x:v>Released</x:v>
      </x:c>
      <x:c r="R296" s="9" t="str">
        <x:v>Original (PC, 1993)</x:v>
      </x:c>
      <x:c r="S296" s="9" t="str">
        <x:v>DOS, Mac, FM Towns, PC-98, Sega Saturn (JP)</x:v>
      </x:c>
      <x:c r="T296" s="9" t="str">
        <x:v>Robyn Lively (The Fairy), Jason Hervey (Troll King), Sam J. Jones (Blind Bowman), A.J. Langer (Rebecca Snoot)</x:v>
      </x:c>
      <x:c r="U296" s="9" t="n">
        <x:v>1</x:v>
      </x:c>
      <x:c r="V296" s="9" t="str">
        <x:v>Yes</x:v>
      </x:c>
      <x:c r="W296" s="9" t="str">
        <x:v>Standard controller; PlayStation Mouse; memory card (3 blocks)</x:v>
      </x:c>
      <x:c r="X296" s="9" t="str">
        <x:v>Low</x:v>
      </x:c>
      <x:c r="Y296" s="9" t="str"/>
      <x:c r="Z296" s="9" t="str">
        <x:v>6–10 hr</x:v>
      </x:c>
      <x:c r="AA296" s="9" t="str">
        <x:v>Activision's goofy live-action Zork, only on PS1 in Japan.</x:v>
      </x:c>
      <x:c r="AB296" s="9" t="str">
        <x:v>None known</x:v>
      </x:c>
      <x:c r="AC296" s="9" t="str">
        <x:v>Live-action actors composited into pre-rendered scenes</x:v>
      </x:c>
      <x:c r="AD296" s="9" t="str">
        <x:v>Hard; easy to make the game unwinnable</x:v>
      </x:c>
      <x:c r="AE296" s="9" t="str">
        <x:v>Single ending (verify)</x:v>
      </x:c>
      <x:c r="AF296" s="9" t="str">
        <x:v>Japan-only on PS1 (SLPS-00192).</x:v>
      </x:c>
      <x:c r="AG296" s="9" t="str">
        <x:v>Unknown — verify</x:v>
      </x:c>
      <x:c r="AH296" s="9" t="str">
        <x:v>Yes (PC on GOG)</x:v>
      </x:c>
      <x:c r="AI296" s="9" t="str">
        <x:v>Import</x:v>
      </x:c>
      <x:c r="AJ296" s="9"/>
      <x:c r="AK296" s="9" t="str">
        <x:v>Japanese language/dub status verify.</x:v>
      </x:c>
      <x:c r="AL296" s="10"/>
      <x:c r="AM296" s="10" t="n">
        <x:v>4.26</x:v>
      </x:c>
      <x:c r="AN296" s="10" t="n">
        <x:v>11</x:v>
      </x:c>
      <x:c r="AO296" s="9" t="str">
        <x:v>2026-10-21</x:v>
      </x:c>
      <x:c r="AP296" s="11" t="str">
        <x:f>HYPERLINK("https://www.pricecharting.com/game/jp-playstation/return-to-zork","PriceCharting")</x:f>
        <x:v>PriceCharting</x:v>
      </x:c>
      <x:c r="AQ296" s="9"/>
      <x:c r="AR296" s="9"/>
      <x:c r="AS296" s="9"/>
      <x:c r="AT296" s="9"/>
      <x:c r="AU296" s="9"/>
      <x:c r="AV296" s="9"/>
      <x:c r="AW296" s="9"/>
      <x:c r="AX296" s="9"/>
      <x:c r="AY296" s="9"/>
      <x:c r="AZ296" s="9" t="str">
        <x:v>3.0</x:v>
      </x:c>
      <x:c r="BA296" s="11" t="str">
        <x:f>HYPERLINK("https://www.mobygames.com/search/?q=Return+to+Zork","MobyGames")</x:f>
        <x:v>MobyGames</x:v>
      </x:c>
      <x:c r="BB296" s="9"/>
      <x:c r="BC296" s="9"/>
      <x:c r="BD296" s="9"/>
      <x:c r="BE296" s="11" t="str">
        <x:f>HYPERLINK("https://en.wikipedia.org/wiki/Return_to_Zork","Wikipedia")</x:f>
        <x:v>Wikipedia</x:v>
      </x:c>
      <x:c r="BF296" s="11" t="str">
        <x:f>HYPERLINK("https://backloggd.com/search/games/Return%20to%20Zork/","Backloggd")</x:f>
        <x:v>Backloggd</x:v>
      </x:c>
      <x:c r="BG296" s="9"/>
      <x:c r="BH296" s="9"/>
      <x:c r="BI296" s="12" t="str">
        <x:v>No</x:v>
      </x:c>
      <x:c r="BJ296" s="12" t="str"/>
      <x:c r="BK296" s="12" t="str">
        <x:v>No</x:v>
      </x:c>
      <x:c r="BL296" s="12" t="str"/>
      <x:c r="BM296" s="12" t="str"/>
      <x:c r="BN296" s="12" t="str"/>
      <x:c r="BO296" s="12" t="str"/>
      <x:c r="BP296" s="12" t="str"/>
      <x:c r="BQ296" s="12" t="str"/>
    </x:row>
    <x:row r="297">
      <x:c r="A297" s="9" t="str">
        <x:v>ps1-84</x:v>
      </x:c>
      <x:c r="B297" s="9" t="str">
        <x:v>jikuu-tantei-dd-maboroshi-no-lorelei</x:v>
      </x:c>
      <x:c r="C297" s="9" t="str">
        <x:v>PlayStation</x:v>
      </x:c>
      <x:c r="D297" s="9" t="str">
        <x:v>Jikuu Tantei DD: Maboroshi no Lorelei</x:v>
      </x:c>
      <x:c r="E297" s="9" t="str">
        <x:v>時空探偵DD 〜幻のローレライ〜</x:v>
      </x:c>
      <x:c r="F297" s="9" t="str">
        <x:v>System Sacom</x:v>
      </x:c>
      <x:c r="G297" s="9" t="str">
        <x:v>ASCII</x:v>
      </x:c>
      <x:c r="H297" s="9" t="n">
        <x:v>1996</x:v>
      </x:c>
      <x:c r="I297" s="9" t="str">
        <x:v>No</x:v>
      </x:c>
      <x:c r="J297" s="9" t="str">
        <x:v>Yes</x:v>
      </x:c>
      <x:c r="K297" s="9" t="str">
        <x:v>No</x:v>
      </x:c>
      <x:c r="L297" s="9" t="str">
        <x:v>No</x:v>
      </x:c>
      <x:c r="M297" s="9" t="str">
        <x:v>Anime adventure</x:v>
      </x:c>
      <x:c r="N297" s="9" t="str">
        <x:v>Animated</x:v>
      </x:c>
      <x:c r="O297" s="9" t="n">
        <x:v>8</x:v>
      </x:c>
      <x:c r="P297" s="9" t="str">
        <x:v>FMV adventure</x:v>
      </x:c>
      <x:c r="Q297" s="9" t="str">
        <x:v>Released</x:v>
      </x:c>
      <x:c r="R297" s="9" t="str">
        <x:v>Original production</x:v>
      </x:c>
      <x:c r="S297" s="9" t="str">
        <x:v>Sega Saturn</x:v>
      </x:c>
      <x:c r="T297" s="9" t="str">
        <x:v>—</x:v>
      </x:c>
      <x:c r="U297" s="9" t="n">
        <x:v>2</x:v>
      </x:c>
      <x:c r="V297" s="9" t="str">
        <x:v>Yes</x:v>
      </x:c>
      <x:c r="W297" s="9" t="str">
        <x:v>Standard controller; memory card (1 block)</x:v>
      </x:c>
      <x:c r="X297" s="9" t="str">
        <x:v>Low</x:v>
      </x:c>
      <x:c r="Y297" s="9" t="str"/>
      <x:c r="Z297" s="9" t="str">
        <x:v>3–5 hr</x:v>
      </x:c>
      <x:c r="AA297" s="9" t="str">
        <x:v>A time-travelling 'Dracula Detective' told through extensive hand-drawn anime FMV.</x:v>
      </x:c>
      <x:c r="AB297" s="9" t="str">
        <x:v>None known</x:v>
      </x:c>
      <x:c r="AC297" s="9" t="str">
        <x:v>Large-window anime FMV</x:v>
      </x:c>
      <x:c r="AD297" s="9" t="str">
        <x:v>Easy</x:v>
      </x:c>
      <x:c r="AE297" s="9" t="str">
        <x:v>Unknown — verify</x:v>
      </x:c>
      <x:c r="AF297" s="9" t="str">
        <x:v>'DD' stands for Dracula Detective; a sequel followed (verify).</x:v>
      </x:c>
      <x:c r="AG297" s="9" t="str">
        <x:v>Unknown — verify</x:v>
      </x:c>
      <x:c r="AH297" s="9" t="str">
        <x:v>No</x:v>
      </x:c>
      <x:c r="AI297" s="9" t="str">
        <x:v>Import</x:v>
      </x:c>
      <x:c r="AJ297" s="9"/>
      <x:c r="AK297" s="9" t="str"/>
      <x:c r="AL297" s="10"/>
      <x:c r="AM297" s="10"/>
      <x:c r="AN297" s="10"/>
      <x:c r="AO297" s="9"/>
      <x:c r="AP297" s="11" t="str">
        <x:f>HYPERLINK("https://www.pricecharting.com/game/jp-playstation/jikuu-tantei-dd-maboroshi-no-lorelei","PriceCharting")</x:f>
        <x:v>PriceCharting</x:v>
      </x:c>
      <x:c r="AQ297" s="9"/>
      <x:c r="AR297" s="9"/>
      <x:c r="AS297" s="9"/>
      <x:c r="AT297" s="9"/>
      <x:c r="AU297" s="9"/>
      <x:c r="AV297" s="9"/>
      <x:c r="AW297" s="9"/>
      <x:c r="AX297" s="9"/>
      <x:c r="AY297" s="9"/>
      <x:c r="AZ297" s="9"/>
      <x:c r="BA297" s="11" t="str">
        <x:f>HYPERLINK("https://www.mobygames.com/search/?q=Jikuu+Tantei+DD%3A+Maboroshi+no+Lorelei","MobyGames")</x:f>
        <x:v>MobyGames</x:v>
      </x:c>
      <x:c r="BB297" s="9" t="str">
        <x:v>67%</x:v>
      </x:c>
      <x:c r="BC297" s="9" t="str">
        <x:v>average of 2 reviews on Wikipedia and Japanese Wikipedia (Famitsu, Play Station Magazine)</x:v>
      </x:c>
      <x:c r="BD297" s="9" t="str">
        <x:f>HYPERLINK("https://en.wikipedia.org/wiki/Jik%C5%AB_Tantei_DD%3A_Maboroshi_no_R%C5%8Drerai","Source")</x:f>
        <x:v>Source</x:v>
      </x:c>
      <x:c r="BE297" s="11" t="str">
        <x:f>HYPERLINK("https://en.wikipedia.org/wiki/Jik%C5%AB_Tantei_DD:_Maboroshi_no_R%C5%8Drerai","Wikipedia")</x:f>
        <x:v>Wikipedia</x:v>
      </x:c>
      <x:c r="BF297" s="11" t="str">
        <x:f>HYPERLINK("https://backloggd.com/search/games/Jikuu%20Tantei%20DD%3A%20Maboroshi%20no%20Lorelei/","Backloggd")</x:f>
        <x:v>Backloggd</x:v>
      </x:c>
      <x:c r="BG297" s="9"/>
      <x:c r="BH297" s="9"/>
      <x:c r="BI297" s="12" t="str">
        <x:v>No</x:v>
      </x:c>
      <x:c r="BJ297" s="12" t="str"/>
      <x:c r="BK297" s="12" t="str">
        <x:v>No</x:v>
      </x:c>
      <x:c r="BL297" s="12" t="str"/>
      <x:c r="BM297" s="12" t="str"/>
      <x:c r="BN297" s="12" t="str"/>
      <x:c r="BO297" s="12" t="str"/>
      <x:c r="BP297" s="12" t="str"/>
      <x:c r="BQ297" s="12" t="str"/>
    </x:row>
    <x:row r="298">
      <x:c r="A298" s="9" t="str">
        <x:v>ps1-85</x:v>
      </x:c>
      <x:c r="B298" s="9" t="str">
        <x:v>jb-harold-blue-chicago-blues</x:v>
      </x:c>
      <x:c r="C298" s="9" t="str">
        <x:v>PlayStation</x:v>
      </x:c>
      <x:c r="D298" s="9" t="str">
        <x:v>J.B. Harold: Blue Chicago Blues</x:v>
      </x:c>
      <x:c r="E298" s="9" t="str">
        <x:v>J.B.ハロルド ブルーシカゴ・ブルース</x:v>
      </x:c>
      <x:c r="F298" s="9" t="str">
        <x:v>Riverhillsoft</x:v>
      </x:c>
      <x:c r="G298" s="9" t="str">
        <x:v>Riverhillsoft</x:v>
      </x:c>
      <x:c r="H298" s="9" t="n">
        <x:v>1996</x:v>
      </x:c>
      <x:c r="I298" s="9" t="str">
        <x:v>No</x:v>
      </x:c>
      <x:c r="J298" s="9" t="str">
        <x:v>Yes</x:v>
      </x:c>
      <x:c r="K298" s="9" t="str">
        <x:v>No</x:v>
      </x:c>
      <x:c r="L298" s="9" t="str">
        <x:v>No</x:v>
      </x:c>
      <x:c r="M298" s="9" t="str">
        <x:v>Live-action detective adventure</x:v>
      </x:c>
      <x:c r="N298" s="9" t="str">
        <x:v>Live-action</x:v>
      </x:c>
      <x:c r="O298" s="9" t="n">
        <x:v>8</x:v>
      </x:c>
      <x:c r="P298" s="9" t="str">
        <x:v>Interactive movie</x:v>
      </x:c>
      <x:c r="Q298" s="9" t="str">
        <x:v>Released</x:v>
      </x:c>
      <x:c r="R298" s="9" t="str">
        <x:v>J.B. Harold Murder Club series (Riverhillsoft)</x:v>
      </x:c>
      <x:c r="S298" s="9" t="str">
        <x:v>Sega Saturn; Windows (verify)</x:v>
      </x:c>
      <x:c r="T298" s="9" t="str">
        <x:v>American actors filmed in Chicago (names verify)</x:v>
      </x:c>
      <x:c r="U298" s="9" t="n">
        <x:v>2</x:v>
      </x:c>
      <x:c r="V298" s="9" t="str">
        <x:v>Yes</x:v>
      </x:c>
      <x:c r="W298" s="9" t="str">
        <x:v>Standard controller; memory card (8 blocks)</x:v>
      </x:c>
      <x:c r="X298" s="9" t="str">
        <x:v>Low</x:v>
      </x:c>
      <x:c r="Y298" s="9" t="str"/>
      <x:c r="Z298" s="9" t="str">
        <x:v>5–8 hr</x:v>
      </x:c>
      <x:c r="AA298" s="9" t="str">
        <x:v>A Japanese detective series shot on location in Chicago with American actors, now partly fan-translated.</x:v>
      </x:c>
      <x:c r="AB298" s="9" t="str">
        <x:v>None known</x:v>
      </x:c>
      <x:c r="AC298" s="9" t="str">
        <x:v>Streamed live-action video</x:v>
      </x:c>
      <x:c r="AD298" s="9" t="str">
        <x:v>Moderate</x:v>
      </x:c>
      <x:c r="AE298" s="9" t="str">
        <x:v>Unknown — verify</x:v>
      </x:c>
      <x:c r="AF298" s="9" t="str">
        <x:v>Seen as a precursor to Hotel Dusk; an English fan patch (Saturn) translated chapter 2 in 2023.</x:v>
      </x:c>
      <x:c r="AG298" s="9" t="str">
        <x:v>Riverhill Soft Best reissue SLPS-02148</x:v>
      </x:c>
      <x:c r="AH298" s="9" t="str">
        <x:v>No</x:v>
      </x:c>
      <x:c r="AI298" s="9" t="str">
        <x:v>Import</x:v>
      </x:c>
      <x:c r="AJ298" s="9"/>
      <x:c r="AK298" s="9" t="str">
        <x:v>Year verify.</x:v>
      </x:c>
      <x:c r="AL298" s="10"/>
      <x:c r="AM298" s="10" t="n">
        <x:v>3.25</x:v>
      </x:c>
      <x:c r="AN298" s="10" t="n">
        <x:v>8</x:v>
      </x:c>
      <x:c r="AO298" s="9" t="str">
        <x:v>2026-10-21</x:v>
      </x:c>
      <x:c r="AP298" s="11" t="str">
        <x:f>HYPERLINK("https://www.pricecharting.com/game/jp-playstation/jb-harold-blue-chicago-blues","PriceCharting")</x:f>
        <x:v>PriceCharting</x:v>
      </x:c>
      <x:c r="AQ298" s="9"/>
      <x:c r="AR298" s="9"/>
      <x:c r="AS298" s="9"/>
      <x:c r="AT298" s="9"/>
      <x:c r="AU298" s="9"/>
      <x:c r="AV298" s="9"/>
      <x:c r="AW298" s="9"/>
      <x:c r="AX298" s="9"/>
      <x:c r="AY298" s="9"/>
      <x:c r="AZ298" s="9" t="str">
        <x:v>4.4</x:v>
      </x:c>
      <x:c r="BA298" s="11" t="str">
        <x:f>HYPERLINK("https://www.mobygames.com/search/?q=J.B.+Harold%3A+Blue+Chicago+Blues","MobyGames")</x:f>
        <x:v>MobyGames</x:v>
      </x:c>
      <x:c r="BB298" s="9"/>
      <x:c r="BC298" s="9"/>
      <x:c r="BD298" s="9"/>
      <x:c r="BE298" s="11" t="str">
        <x:f>HYPERLINK("https://en.wikipedia.org/wiki/J.B._Harold_Murder_Club","Wikipedia")</x:f>
        <x:v>Wikipedia</x:v>
      </x:c>
      <x:c r="BF298" s="11" t="str">
        <x:f>HYPERLINK("https://backloggd.com/search/games/J.B.%20Harold%3A%20Blue%20Chicago%20Blues/","Backloggd")</x:f>
        <x:v>Backloggd</x:v>
      </x:c>
      <x:c r="BG298" s="9"/>
      <x:c r="BH298" s="9"/>
      <x:c r="BI298" s="12" t="str">
        <x:v>No</x:v>
      </x:c>
      <x:c r="BJ298" s="12" t="str"/>
      <x:c r="BK298" s="12" t="str">
        <x:v>No</x:v>
      </x:c>
      <x:c r="BL298" s="12" t="str"/>
      <x:c r="BM298" s="12" t="str"/>
      <x:c r="BN298" s="12" t="str"/>
      <x:c r="BO298" s="12" t="str"/>
      <x:c r="BP298" s="12" t="str"/>
      <x:c r="BQ298" s="12" t="str"/>
    </x:row>
    <x:row r="299">
      <x:c r="A299" s="9" t="str">
        <x:v>ps1-86</x:v>
      </x:c>
      <x:c r="B299" s="9" t="str">
        <x:v>kowloons-gate</x:v>
      </x:c>
      <x:c r="C299" s="9" t="str">
        <x:v>PlayStation</x:v>
      </x:c>
      <x:c r="D299" s="9" t="str">
        <x:v>Kowloon's Gate</x:v>
      </x:c>
      <x:c r="E299" s="9" t="str">
        <x:v>Kowloon's Gate: Kowloon Fūsuiden (クーロンズ・ゲート 九龍風水傳)</x:v>
      </x:c>
      <x:c r="F299" s="9" t="str">
        <x:v>Zeque</x:v>
      </x:c>
      <x:c r="G299" s="9" t="str">
        <x:v>Sony Music Entertainment (JP)</x:v>
      </x:c>
      <x:c r="H299" s="9" t="n">
        <x:v>1997</x:v>
      </x:c>
      <x:c r="I299" s="9" t="str">
        <x:v>No</x:v>
      </x:c>
      <x:c r="J299" s="9" t="str">
        <x:v>Yes</x:v>
      </x:c>
      <x:c r="K299" s="9" t="str">
        <x:v>No</x:v>
      </x:c>
      <x:c r="L299" s="9" t="str">
        <x:v>No</x:v>
      </x:c>
      <x:c r="M299" s="9" t="str">
        <x:v>First-person adventure / RPG</x:v>
      </x:c>
      <x:c r="N299" s="9" t="str">
        <x:v>Pre-rendered CG</x:v>
      </x:c>
      <x:c r="O299" s="9" t="n">
        <x:v>3</x:v>
      </x:c>
      <x:c r="P299" s="9" t="str">
        <x:v>Pre-rendered CG</x:v>
      </x:c>
      <x:c r="Q299" s="9" t="str">
        <x:v>Released</x:v>
      </x:c>
      <x:c r="R299" s="9" t="str">
        <x:v>Original production</x:v>
      </x:c>
      <x:c r="S299" s="9" t="str"/>
      <x:c r="T299" s="9" t="str">
        <x:v>—</x:v>
      </x:c>
      <x:c r="U299" s="9" t="n">
        <x:v>4</x:v>
      </x:c>
      <x:c r="V299" s="9" t="str">
        <x:v>Yes</x:v>
      </x:c>
      <x:c r="W299" s="9" t="str">
        <x:v>Memory card</x:v>
      </x:c>
      <x:c r="X299" s="9" t="str">
        <x:v>Low</x:v>
      </x:c>
      <x:c r="Y299" s="9" t="str"/>
      <x:c r="Z299" s="9" t="str">
        <x:v>20–30 hr (verify)</x:v>
      </x:c>
      <x:c r="AA299" s="9" t="str">
        <x:v>A four-disc cult Japanese cyberpunk-feng-shui adventure set in a parallel Kowloon Walled City, all junk-collage art and dread.</x:v>
      </x:c>
      <x:c r="AB299" s="9" t="str">
        <x:v>None known</x:v>
      </x:c>
      <x:c r="AC299" s="9" t="str">
        <x:v>Full-screen pre-rendered CG movies plus pre-rendered still/movie backdrops; quality typical of 1997 PS1 (verify)</x:v>
      </x:c>
      <x:c r="AD299" s="9" t="str">
        <x:v>Obtuse puzzles and wandering; Japanese text required</x:v>
      </x:c>
      <x:c r="AE299" s="9" t="str">
        <x:v>Single ending (verify)</x:v>
      </x:c>
      <x:c r="AF299" s="9" t="str">
        <x:v>An English localization was made but never released; it is tracked as lost media. Limited edition (SLPS-00669) and standard (SLPS-00706) pressings exist.</x:v>
      </x:c>
      <x:c r="AG299" s="9" t="str">
        <x:v>Limited edition SLPS-00669; standard SLPS-00706; PlayStation the Best SCPS-45014</x:v>
      </x:c>
      <x:c r="AH299" s="9" t="str">
        <x:v>Yes (PS3/PSP PSone Classics, Japan only — verify)</x:v>
      </x:c>
      <x:c r="AI299" s="9" t="str">
        <x:v>Import</x:v>
      </x:c>
      <x:c r="AJ299" s="9"/>
      <x:c r="AK299" s="9" t="str">
        <x:v>JP only. Kept as a notable CG-heavy title; FMV is atmospheric movies rather than the play itself, so fmv 3. Exact amount of streamed video unverified.</x:v>
      </x:c>
      <x:c r="AL299" s="10" t="n">
        <x:v>36.18</x:v>
      </x:c>
      <x:c r="AM299" s="10" t="n">
        <x:v>46.89</x:v>
      </x:c>
      <x:c r="AN299" s="10" t="n">
        <x:v>175.2</x:v>
      </x:c>
      <x:c r="AO299" s="9" t="str">
        <x:v>2026-10-21</x:v>
      </x:c>
      <x:c r="AP299" s="11" t="str">
        <x:f>HYPERLINK("https://www.pricecharting.com/game/jp-playstation/kowloon%27s-gate","PriceCharting")</x:f>
        <x:v>PriceCharting</x:v>
      </x:c>
      <x:c r="AQ299" s="9"/>
      <x:c r="AR299" s="9"/>
      <x:c r="AS299" s="9"/>
      <x:c r="AT299" s="9"/>
      <x:c r="AU299" s="9"/>
      <x:c r="AV299" s="9"/>
      <x:c r="AW299" s="9"/>
      <x:c r="AX299" s="9"/>
      <x:c r="AY299" s="9"/>
      <x:c r="AZ299" s="9"/>
      <x:c r="BA299" s="11" t="str">
        <x:f>HYPERLINK("https://www.mobygames.com/search/?q=Kowloon%27s+Gate","MobyGames")</x:f>
        <x:v>MobyGames</x:v>
      </x:c>
      <x:c r="BB299" s="9"/>
      <x:c r="BC299" s="9"/>
      <x:c r="BD299" s="9"/>
      <x:c r="BE299" s="11" t="str">
        <x:f>HYPERLINK("https://en.wikipedia.org/wiki/Kowloon%27s_Gate","Wikipedia")</x:f>
        <x:v>Wikipedia</x:v>
      </x:c>
      <x:c r="BF299" s="11" t="str">
        <x:f>HYPERLINK("https://backloggd.com/search/games/Kowloon%27s%20Gate/","Backloggd")</x:f>
        <x:v>Backloggd</x:v>
      </x:c>
      <x:c r="BG299" s="9"/>
      <x:c r="BH299" s="9"/>
      <x:c r="BI299" s="12" t="str">
        <x:v>No</x:v>
      </x:c>
      <x:c r="BJ299" s="12" t="str"/>
      <x:c r="BK299" s="12" t="str">
        <x:v>No</x:v>
      </x:c>
      <x:c r="BL299" s="12" t="str"/>
      <x:c r="BM299" s="12" t="str"/>
      <x:c r="BN299" s="12" t="str"/>
      <x:c r="BO299" s="12" t="str"/>
      <x:c r="BP299" s="12" t="str"/>
      <x:c r="BQ299" s="12" t="str"/>
    </x:row>
    <x:row r="300">
      <x:c r="A300" s="9" t="str">
        <x:v>ps1-87</x:v>
      </x:c>
      <x:c r="B300" s="9" t="str">
        <x:v>space-griffon-vf-9</x:v>
      </x:c>
      <x:c r="C300" s="9" t="str">
        <x:v>PlayStation</x:v>
      </x:c>
      <x:c r="D300" s="9" t="str">
        <x:v>Space Griffon VF-9</x:v>
      </x:c>
      <x:c r="E300" s="9" t="str">
        <x:v>Space Griffon (JP)</x:v>
      </x:c>
      <x:c r="F300" s="9" t="str">
        <x:v>Panther Software</x:v>
      </x:c>
      <x:c r="G300" s="9" t="str">
        <x:v>Panther Software (JP), Atlus (NA)</x:v>
      </x:c>
      <x:c r="H300" s="9" t="n">
        <x:v>1995</x:v>
      </x:c>
      <x:c r="I300" s="9" t="str">
        <x:v>Yes</x:v>
      </x:c>
      <x:c r="J300" s="9" t="str">
        <x:v>Yes</x:v>
      </x:c>
      <x:c r="K300" s="9" t="str">
        <x:v>No</x:v>
      </x:c>
      <x:c r="L300" s="9" t="str">
        <x:v>No</x:v>
      </x:c>
      <x:c r="M300" s="9" t="str">
        <x:v>First-person mech shooter</x:v>
      </x:c>
      <x:c r="N300" s="9" t="str">
        <x:v>Animated</x:v>
      </x:c>
      <x:c r="O300" s="9" t="n">
        <x:v>3</x:v>
      </x:c>
      <x:c r="P300" s="9" t="str">
        <x:v>Cutscenes only</x:v>
      </x:c>
      <x:c r="Q300" s="9" t="str">
        <x:v>Released</x:v>
      </x:c>
      <x:c r="R300" s="9" t="str">
        <x:v>Original production</x:v>
      </x:c>
      <x:c r="S300" s="9" t="str">
        <x:v>—</x:v>
      </x:c>
      <x:c r="T300" s="9" t="str">
        <x:v>—</x:v>
      </x:c>
      <x:c r="U300" s="9" t="n">
        <x:v>1</x:v>
      </x:c>
      <x:c r="V300" s="9" t="str">
        <x:v>Yes (memory card, 8 blocks)</x:v>
      </x:c>
      <x:c r="W300" s="9" t="str">
        <x:v>Memory card</x:v>
      </x:c>
      <x:c r="X300" s="9" t="str">
        <x:v>Low</x:v>
      </x:c>
      <x:c r="Y300" s="9" t="str"/>
      <x:c r="Z300" s="9" t="str">
        <x:v>Unknown — verify</x:v>
      </x:c>
      <x:c r="AA300" s="9" t="str">
        <x:v>A Doom-alike in a derelict moon base where anime cutscenes do the storytelling and the mech can't jump stairs.</x:v>
      </x:c>
      <x:c r="AB300" s="9" t="str">
        <x:v>None known</x:v>
      </x:c>
      <x:c r="AC300" s="9" t="str">
        <x:v>Anime cutscenes, roughly full screen at low PS1 frame rate (verify)</x:v>
      </x:c>
      <x:c r="AD300" s="9" t="str">
        <x:v>Moderate; slow controls</x:v>
      </x:c>
      <x:c r="AE300" s="9" t="str">
        <x:v>Single ending (verify)</x:v>
      </x:c>
      <x:c r="AF300" s="9" t="str">
        <x:v>Panther Software later made Dark Seed-era-adjacent Japan PS1 titles; NA release by Atlus in 1996 (verify year).</x:v>
      </x:c>
      <x:c r="AG300" s="9" t="str">
        <x:v>JP and NA releases</x:v>
      </x:c>
      <x:c r="AH300" s="9" t="str">
        <x:v>No</x:v>
      </x:c>
      <x:c r="AI300" s="9" t="str">
        <x:v>Easy</x:v>
      </x:c>
      <x:c r="AJ300" s="9"/>
      <x:c r="AK300" s="9" t="str">
        <x:v>Anime FMV carries the plot between stages; borderline notable cutscene title. Release years JP 1995 / NA 1996 from memory (verify).</x:v>
      </x:c>
      <x:c r="AL300" s="10" t="n">
        <x:v>8.18</x:v>
      </x:c>
      <x:c r="AM300" s="10" t="n">
        <x:v>8.5</x:v>
      </x:c>
      <x:c r="AN300" s="10" t="n">
        <x:v>22</x:v>
      </x:c>
      <x:c r="AO300" s="9" t="str">
        <x:v>2026-10-21</x:v>
      </x:c>
      <x:c r="AP300" s="11" t="str">
        <x:f>HYPERLINK("https://www.pricecharting.com/game/jp-playstation/space-griffon-vf-9","PriceCharting")</x:f>
        <x:v>PriceCharting</x:v>
      </x:c>
      <x:c r="AQ300" s="9"/>
      <x:c r="AR300" s="9"/>
      <x:c r="AS300" s="9"/>
      <x:c r="AT300" s="9"/>
      <x:c r="AU300" s="9"/>
      <x:c r="AV300" s="9"/>
      <x:c r="AW300" s="9"/>
      <x:c r="AX300" s="9"/>
      <x:c r="AY300" s="9" t="str">
        <x:v>62%</x:v>
      </x:c>
      <x:c r="AZ300" s="9"/>
      <x:c r="BA300" s="11" t="str">
        <x:f>HYPERLINK("https://www.mobygames.com/search/?q=Space+Griffon+VF-9","MobyGames")</x:f>
        <x:v>MobyGames</x:v>
      </x:c>
      <x:c r="BB300" s="9" t="str">
        <x:v>60%</x:v>
      </x:c>
      <x:c r="BC300" s="9" t="str">
        <x:v>average of 6 reviews on Wikipedia (CP, GI, GameFan, IGN, NGen, VGS)</x:v>
      </x:c>
      <x:c r="BD300" s="9" t="str">
        <x:f>HYPERLINK("https://en.wikipedia.org/wiki/Space_Griffon_VF-9","Source")</x:f>
        <x:v>Source</x:v>
      </x:c>
      <x:c r="BE300" s="11" t="str">
        <x:f>HYPERLINK("https://en.wikipedia.org/wiki/Space_Griffon_VF-9","Wikipedia")</x:f>
        <x:v>Wikipedia</x:v>
      </x:c>
      <x:c r="BF300" s="11" t="str">
        <x:f>HYPERLINK("https://backloggd.com/search/games/Space%20Griffon%20VF-9/","Backloggd")</x:f>
        <x:v>Backloggd</x:v>
      </x:c>
      <x:c r="BG300" s="9"/>
      <x:c r="BH300" s="9"/>
      <x:c r="BI300" s="12" t="str">
        <x:v>No</x:v>
      </x:c>
      <x:c r="BJ300" s="12" t="str"/>
      <x:c r="BK300" s="12" t="str">
        <x:v>No</x:v>
      </x:c>
      <x:c r="BL300" s="12" t="str"/>
      <x:c r="BM300" s="12" t="str"/>
      <x:c r="BN300" s="12" t="str"/>
      <x:c r="BO300" s="12" t="str"/>
      <x:c r="BP300" s="12" t="str"/>
      <x:c r="BQ300" s="12" t="str"/>
    </x:row>
    <x:row r="301">
      <x:c r="A301" s="9" t="str">
        <x:v>ps1-88</x:v>
      </x:c>
      <x:c r="B301" s="9" t="str">
        <x:v>lunar-silver-star-story</x:v>
      </x:c>
      <x:c r="C301" s="9" t="str">
        <x:v>PlayStation</x:v>
      </x:c>
      <x:c r="D301" s="9" t="str">
        <x:v>Lunar: Silver Star Story Complete</x:v>
      </x:c>
      <x:c r="E301" s="9" t="str">
        <x:v>Lunar: Silver Star Story (JP)</x:v>
      </x:c>
      <x:c r="F301" s="9" t="str">
        <x:v>Game Arts / Japan Art Media</x:v>
      </x:c>
      <x:c r="G301" s="9" t="str">
        <x:v>Kadokawa Shoten (JP), Working Designs (NA)</x:v>
      </x:c>
      <x:c r="H301" s="9" t="n">
        <x:v>1998</x:v>
      </x:c>
      <x:c r="I301" s="9" t="str">
        <x:v>Yes</x:v>
      </x:c>
      <x:c r="J301" s="9" t="str">
        <x:v>Yes</x:v>
      </x:c>
      <x:c r="K301" s="9" t="str">
        <x:v>No</x:v>
      </x:c>
      <x:c r="L301" s="9" t="str">
        <x:v>No</x:v>
      </x:c>
      <x:c r="M301" s="9" t="str">
        <x:v>RPG</x:v>
      </x:c>
      <x:c r="N301" s="9" t="str">
        <x:v>Animated</x:v>
      </x:c>
      <x:c r="O301" s="9" t="n">
        <x:v>3</x:v>
      </x:c>
      <x:c r="P301" s="9" t="str">
        <x:v>Cutscenes only</x:v>
      </x:c>
      <x:c r="Q301" s="9" t="str">
        <x:v>Released</x:v>
      </x:c>
      <x:c r="R301" s="9" t="str">
        <x:v>Remake of Sega CD Lunar: The Silver Star</x:v>
      </x:c>
      <x:c r="S301" s="9" t="str">
        <x:v>Saturn, Windows, Lunar Remastered Collection (PS4/PS5/Switch/Xbox/PC)</x:v>
      </x:c>
      <x:c r="T301" s="9" t="str">
        <x:v>Voice cast of Working Designs' English dub</x:v>
      </x:c>
      <x:c r="U301" s="9" t="n">
        <x:v>2</x:v>
      </x:c>
      <x:c r="V301" s="9" t="str">
        <x:v>Yes</x:v>
      </x:c>
      <x:c r="W301" s="9" t="str">
        <x:v>Memory card</x:v>
      </x:c>
      <x:c r="X301" s="9" t="str">
        <x:v>Low–Med</x:v>
      </x:c>
      <x:c r="Y301" s="9" t="str">
        <x:v>Commercially released soundtrack/vocal songs</x:v>
      </x:c>
      <x:c r="Z301" s="9" t="str">
        <x:v>25–35 hr</x:v>
      </x:c>
      <x:c r="AA301" s="9" t="str">
        <x:v>The anime-cutscene RPG that defined Working Designs: about an hour of hand-drawn FMV with full English songs.</x:v>
      </x:c>
      <x:c r="AB301" s="9" t="str">
        <x:v>None known</x:v>
      </x:c>
      <x:c r="AC301" s="9" t="str">
        <x:v>Full-screen anime FMV, noticeably compressed; extended over the Saturn original</x:v>
      </x:c>
      <x:c r="AD301" s="9" t="str">
        <x:v>Easy–moderate</x:v>
      </x:c>
      <x:c r="AE301" s="9" t="str">
        <x:v>Single ending</x:v>
      </x:c>
      <x:c r="AF301" s="9" t="str">
        <x:v>The NA box was a deluxe set with cloth map, soundtrack CD, making-of disc and pendant; Working Designs added jokes in its script.</x:v>
      </x:c>
      <x:c r="AG301" s="9" t="str">
        <x:v>NA: 4-disc collector's box (2 game discs, soundtrack, making-of); JP standard</x:v>
      </x:c>
      <x:c r="AH301" s="9" t="str">
        <x:v>Yes (Lunar Remastered Collection, 2025)</x:v>
      </x:c>
      <x:c r="AI301" s="9" t="str">
        <x:v>Easy</x:v>
      </x:c>
      <x:c r="AJ301" s="9"/>
      <x:c r="AK301" s="9" t="str">
        <x:v>PS1 is the 1999 NA release of the 1998 JP port. Notable anime-FMV title (fmv 3).</x:v>
      </x:c>
      <x:c r="AL301" s="10" t="n">
        <x:v>27.95</x:v>
      </x:c>
      <x:c r="AM301" s="10" t="n">
        <x:v>124.99</x:v>
      </x:c>
      <x:c r="AN301" s="10" t="n">
        <x:v>181.94</x:v>
      </x:c>
      <x:c r="AO301" s="9" t="str">
        <x:v>2026-10-21</x:v>
      </x:c>
      <x:c r="AP301" s="11" t="str">
        <x:f>HYPERLINK("https://www.pricecharting.com/game/playstation/lunar-silver-star-story-complete","PriceCharting")</x:f>
        <x:v>PriceCharting</x:v>
      </x:c>
      <x:c r="AQ301" s="9"/>
      <x:c r="AR301" s="9"/>
      <x:c r="AS301" s="9"/>
      <x:c r="AT301" s="9"/>
      <x:c r="AU301" s="9"/>
      <x:c r="AV301" s="9"/>
      <x:c r="AW301" s="9"/>
      <x:c r="AX301" s="9"/>
      <x:c r="AY301" s="9" t="str">
        <x:v>86%</x:v>
      </x:c>
      <x:c r="AZ301" s="9" t="str">
        <x:v>4.1</x:v>
      </x:c>
      <x:c r="BA301" s="11" t="str">
        <x:f>HYPERLINK("https://www.mobygames.com/search/?q=Lunar%3A+Silver+Star+Story+Complete","MobyGames")</x:f>
        <x:v>MobyGames</x:v>
      </x:c>
      <x:c r="BB301" s="9" t="str">
        <x:v>86%</x:v>
      </x:c>
      <x:c r="BC301" s="9" t="str">
        <x:v>GameRankings, 22 reviews</x:v>
      </x:c>
      <x:c r="BD301" s="9" t="str">
        <x:f>HYPERLINK("https://web.archive.org/web/20191209015627id_/https://www.gamerankings.com/ps/197808-lunar-silver-star-story-complete/","Source")</x:f>
        <x:v>Source</x:v>
      </x:c>
      <x:c r="BE301" s="11" t="str">
        <x:f>HYPERLINK("https://en.wikipedia.org/wiki/Lunar:_Silver_Star_Story_Complete","Wikipedia")</x:f>
        <x:v>Wikipedia</x:v>
      </x:c>
      <x:c r="BF301" s="11" t="str">
        <x:f>HYPERLINK("https://backloggd.com/search/games/Lunar%3A%20Silver%20Star%20Story%20Complete/","Backloggd")</x:f>
        <x:v>Backloggd</x:v>
      </x:c>
      <x:c r="BG301" s="9"/>
      <x:c r="BH301" s="9"/>
      <x:c r="BI301" s="12" t="str">
        <x:v>No</x:v>
      </x:c>
      <x:c r="BJ301" s="12" t="str"/>
      <x:c r="BK301" s="12" t="str">
        <x:v>No</x:v>
      </x:c>
      <x:c r="BL301" s="12" t="str"/>
      <x:c r="BM301" s="12" t="str"/>
      <x:c r="BN301" s="12" t="str"/>
      <x:c r="BO301" s="12" t="str"/>
      <x:c r="BP301" s="12" t="str"/>
      <x:c r="BQ301" s="12" t="str"/>
    </x:row>
    <x:row r="302">
      <x:c r="A302" s="9" t="str">
        <x:v>ps1-89</x:v>
      </x:c>
      <x:c r="B302" s="9" t="str">
        <x:v>lunar-2-eternal-blue</x:v>
      </x:c>
      <x:c r="C302" s="9" t="str">
        <x:v>PlayStation</x:v>
      </x:c>
      <x:c r="D302" s="9" t="str">
        <x:v>Lunar 2: Eternal Blue Complete</x:v>
      </x:c>
      <x:c r="E302" s="9" t="str">
        <x:v>Lunar 2: Eternal Blue (JP)</x:v>
      </x:c>
      <x:c r="F302" s="9" t="str">
        <x:v>Game Arts / Japan Art Media</x:v>
      </x:c>
      <x:c r="G302" s="9" t="str">
        <x:v>Kadokawa Shoten (JP), Working Designs (NA)</x:v>
      </x:c>
      <x:c r="H302" s="9" t="n">
        <x:v>1999</x:v>
      </x:c>
      <x:c r="I302" s="9" t="str">
        <x:v>Yes</x:v>
      </x:c>
      <x:c r="J302" s="9" t="str">
        <x:v>Yes</x:v>
      </x:c>
      <x:c r="K302" s="9" t="str">
        <x:v>No</x:v>
      </x:c>
      <x:c r="L302" s="9" t="str">
        <x:v>No</x:v>
      </x:c>
      <x:c r="M302" s="9" t="str">
        <x:v>RPG</x:v>
      </x:c>
      <x:c r="N302" s="9" t="str">
        <x:v>Animated</x:v>
      </x:c>
      <x:c r="O302" s="9" t="n">
        <x:v>3</x:v>
      </x:c>
      <x:c r="P302" s="9" t="str">
        <x:v>Cutscenes only</x:v>
      </x:c>
      <x:c r="Q302" s="9" t="str">
        <x:v>Released</x:v>
      </x:c>
      <x:c r="R302" s="9" t="str">
        <x:v>Remake of Sega CD Lunar: Eternal Blue</x:v>
      </x:c>
      <x:c r="S302" s="9" t="str">
        <x:v>Saturn, Lunar Remastered Collection (PS4/PS5/Switch/Xbox/PC)</x:v>
      </x:c>
      <x:c r="T302" s="9" t="str">
        <x:v>—</x:v>
      </x:c>
      <x:c r="U302" s="9" t="n">
        <x:v>3</x:v>
      </x:c>
      <x:c r="V302" s="9" t="str">
        <x:v>Yes</x:v>
      </x:c>
      <x:c r="W302" s="9" t="str">
        <x:v>Memory card</x:v>
      </x:c>
      <x:c r="X302" s="9" t="str">
        <x:v>Low–Med</x:v>
      </x:c>
      <x:c r="Y302" s="9" t="str">
        <x:v>Vocal theme songs</x:v>
      </x:c>
      <x:c r="Z302" s="9" t="str">
        <x:v>40–50 hr</x:v>
      </x:c>
      <x:c r="AA302" s="9" t="str">
        <x:v>The bigger Lunar sequel, stuffed with even more anime FMV and a post-game epilogue.</x:v>
      </x:c>
      <x:c r="AB302" s="9" t="str">
        <x:v>None known</x:v>
      </x:c>
      <x:c r="AC302" s="9" t="str">
        <x:v>Full-screen anime FMV, compressed; more cutscenes than SSSC</x:v>
      </x:c>
      <x:c r="AD302" s="9" t="str">
        <x:v>Moderate</x:v>
      </x:c>
      <x:c r="AE302" s="9" t="str">
        <x:v>Single ending plus epilogue</x:v>
      </x:c>
      <x:c r="AF302" s="9" t="str">
        <x:v>NA collector's box (2000) shipped with soundtrack, making-of disc, cloth poster and Lucia pendant.</x:v>
      </x:c>
      <x:c r="AG302" s="9" t="str">
        <x:v>NA collector's box; JP standard</x:v>
      </x:c>
      <x:c r="AH302" s="9" t="str">
        <x:v>Yes (Lunar Remastered Collection, 2025)</x:v>
      </x:c>
      <x:c r="AI302" s="9" t="str">
        <x:v>Easy</x:v>
      </x:c>
      <x:c r="AJ302" s="9"/>
      <x:c r="AK302" s="9" t="str">
        <x:v>JP PS1 1999, NA 2000. Notable anime-FMV title (fmv 3).</x:v>
      </x:c>
      <x:c r="AL302" s="10" t="n">
        <x:v>50.88</x:v>
      </x:c>
      <x:c r="AM302" s="10" t="n">
        <x:v>100.17</x:v>
      </x:c>
      <x:c r="AN302" s="10" t="n">
        <x:v>264.57</x:v>
      </x:c>
      <x:c r="AO302" s="9" t="str">
        <x:v>2026-10-21</x:v>
      </x:c>
      <x:c r="AP302" s="11" t="str">
        <x:f>HYPERLINK("https://www.pricecharting.com/game/playstation/lunar-2-eternal-blue-complete","PriceCharting")</x:f>
        <x:v>PriceCharting</x:v>
      </x:c>
      <x:c r="AQ302" s="9"/>
      <x:c r="AR302" s="9"/>
      <x:c r="AS302" s="9"/>
      <x:c r="AT302" s="9"/>
      <x:c r="AU302" s="9"/>
      <x:c r="AV302" s="9"/>
      <x:c r="AW302" s="9"/>
      <x:c r="AX302" s="9"/>
      <x:c r="AY302" s="9" t="str">
        <x:v>81%</x:v>
      </x:c>
      <x:c r="AZ302" s="9" t="str">
        <x:v>3.9</x:v>
      </x:c>
      <x:c r="BA302" s="11" t="str">
        <x:f>HYPERLINK("https://www.mobygames.com/search/?q=Lunar+2%3A+Eternal+Blue+Complete","MobyGames")</x:f>
        <x:v>MobyGames</x:v>
      </x:c>
      <x:c r="BB302" s="9" t="str">
        <x:v>83%</x:v>
      </x:c>
      <x:c r="BC302" s="9" t="str">
        <x:v>GameRankings, 22 reviews</x:v>
      </x:c>
      <x:c r="BD302" s="9" t="str">
        <x:f>HYPERLINK("https://web.archive.org/web/20191209015617id_/https://www.gamerankings.com/ps/197807-lunar-2-eternal-blue/","Source")</x:f>
        <x:v>Source</x:v>
      </x:c>
      <x:c r="BE302" s="11" t="str">
        <x:f>HYPERLINK("https://en.wikipedia.org/wiki/Lunar_2:_Eternal_Blue","Wikipedia")</x:f>
        <x:v>Wikipedia</x:v>
      </x:c>
      <x:c r="BF302" s="11" t="str">
        <x:f>HYPERLINK("https://backloggd.com/search/games/Lunar%202%3A%20Eternal%20Blue%20Complete/","Backloggd")</x:f>
        <x:v>Backloggd</x:v>
      </x:c>
      <x:c r="BG302" s="9"/>
      <x:c r="BH302" s="9"/>
      <x:c r="BI302" s="12" t="str">
        <x:v>No</x:v>
      </x:c>
      <x:c r="BJ302" s="12" t="str"/>
      <x:c r="BK302" s="12" t="str">
        <x:v>No</x:v>
      </x:c>
      <x:c r="BL302" s="12" t="str"/>
      <x:c r="BM302" s="12" t="str"/>
      <x:c r="BN302" s="12" t="str"/>
      <x:c r="BO302" s="12" t="str"/>
      <x:c r="BP302" s="12" t="str"/>
      <x:c r="BQ302" s="12" t="str"/>
    </x:row>
    <x:row r="303">
      <x:c r="A303" s="9" t="str">
        <x:v>ps1-90</x:v>
      </x:c>
      <x:c r="B303" s="9" t="str">
        <x:v>cowboy-bebop</x:v>
      </x:c>
      <x:c r="C303" s="9" t="str">
        <x:v>PlayStation</x:v>
      </x:c>
      <x:c r="D303" s="9" t="str">
        <x:v>Cowboy Bebop</x:v>
      </x:c>
      <x:c r="E303" s="9" t="str">
        <x:v>カウボーイビバップ</x:v>
      </x:c>
      <x:c r="F303" s="9" t="str">
        <x:v>Bandai</x:v>
      </x:c>
      <x:c r="G303" s="9" t="str">
        <x:v>Bandai (JP)</x:v>
      </x:c>
      <x:c r="H303" s="9" t="n">
        <x:v>1998</x:v>
      </x:c>
      <x:c r="I303" s="9" t="str">
        <x:v>No</x:v>
      </x:c>
      <x:c r="J303" s="9" t="str">
        <x:v>Yes</x:v>
      </x:c>
      <x:c r="K303" s="9" t="str">
        <x:v>No</x:v>
      </x:c>
      <x:c r="L303" s="9" t="str">
        <x:v>No</x:v>
      </x:c>
      <x:c r="M303" s="9" t="str">
        <x:v>Action / shooter</x:v>
      </x:c>
      <x:c r="N303" s="9" t="str">
        <x:v>Animated</x:v>
      </x:c>
      <x:c r="O303" s="9" t="n">
        <x:v>3</x:v>
      </x:c>
      <x:c r="P303" s="9" t="str">
        <x:v>Cutscenes only</x:v>
      </x:c>
      <x:c r="Q303" s="9" t="str">
        <x:v>Released</x:v>
      </x:c>
      <x:c r="R303" s="9" t="str">
        <x:v>Cowboy Bebop anime (Sunrise)</x:v>
      </x:c>
      <x:c r="S303" s="9" t="str"/>
      <x:c r="T303" s="9" t="str">
        <x:v>Original Japanese anime voice cast (Faye, Jet and Ed advise the player on screen)</x:v>
      </x:c>
      <x:c r="U303" s="9" t="n">
        <x:v>1</x:v>
      </x:c>
      <x:c r="V303" s="9" t="str">
        <x:v>Yes (memory card, 1 block)</x:v>
      </x:c>
      <x:c r="W303" s="9" t="str">
        <x:v>Memory card</x:v>
      </x:c>
      <x:c r="X303" s="9" t="str">
        <x:v>Med</x:v>
      </x:c>
      <x:c r="Y303" s="9" t="str">
        <x:v>Sunrise anime footage and Yoko Kanno music</x:v>
      </x:c>
      <x:c r="Z303" s="9" t="str">
        <x:v>Unknown — verify</x:v>
      </x:c>
      <x:c r="AA303" s="9" t="str">
        <x:v>The only Cowboy Bebop game of the show's original run, with anime FMV between Swordfish stages.</x:v>
      </x:c>
      <x:c r="AB303" s="9" t="str">
        <x:v>None known</x:v>
      </x:c>
      <x:c r="AC303" s="9" t="str">
        <x:v>Anime FMV cutscenes, size/frame rate unverified</x:v>
      </x:c>
      <x:c r="AD303" s="9" t="str">
        <x:v>Unknown — verify</x:v>
      </x:c>
      <x:c r="AE303" s="9" t="str">
        <x:v>Unknown — verify</x:v>
      </x:c>
      <x:c r="AF303" s="9" t="str">
        <x:v>Released in 1998 alongside the TV broadcast; reissued as Bandai the Best (SLPS-03258).</x:v>
      </x:c>
      <x:c r="AG303" s="9" t="str">
        <x:v>Original SLPS-01126; Bandai the Best SLPS-03258</x:v>
      </x:c>
      <x:c r="AH303" s="9" t="str">
        <x:v>No</x:v>
      </x:c>
      <x:c r="AI303" s="9" t="str">
        <x:v>Import</x:v>
      </x:c>
      <x:c r="AJ303" s="9"/>
      <x:c r="AK303" s="9" t="str">
        <x:v>JP only. Not the PS2 game (Tsuitou no Serenade, 2005). Amount of anime FMV unverified; kept as a candidate notable-anime title.</x:v>
      </x:c>
      <x:c r="AL303" s="10" t="n">
        <x:v>47.65</x:v>
      </x:c>
      <x:c r="AM303" s="10" t="n">
        <x:v>58.21</x:v>
      </x:c>
      <x:c r="AN303" s="10" t="n">
        <x:v>105</x:v>
      </x:c>
      <x:c r="AO303" s="9" t="str">
        <x:v>2026-10-21</x:v>
      </x:c>
      <x:c r="AP303" s="11" t="str">
        <x:f>HYPERLINK("https://www.pricecharting.com/game/jp-playstation/cowboy-bebop","PriceCharting")</x:f>
        <x:v>PriceCharting</x:v>
      </x:c>
      <x:c r="AQ303" s="9"/>
      <x:c r="AR303" s="9"/>
      <x:c r="AS303" s="9"/>
      <x:c r="AT303" s="9"/>
      <x:c r="AU303" s="9"/>
      <x:c r="AV303" s="9"/>
      <x:c r="AW303" s="9"/>
      <x:c r="AX303" s="9"/>
      <x:c r="AY303" s="9"/>
      <x:c r="AZ303" s="9" t="str">
        <x:v>3.9</x:v>
      </x:c>
      <x:c r="BA303" s="11" t="str">
        <x:f>HYPERLINK("https://www.mobygames.com/search/?q=Cowboy+Bebop","MobyGames")</x:f>
        <x:v>MobyGames</x:v>
      </x:c>
      <x:c r="BB303" s="9" t="str">
        <x:v>42%</x:v>
      </x:c>
      <x:c r="BC303" s="9" t="str">
        <x:v>average of 1 review on Wikipedia (Dengeki PlayStation)</x:v>
      </x:c>
      <x:c r="BD303" s="9" t="str">
        <x:f>HYPERLINK("https://en.wikipedia.org/wiki/Cowboy_Bebop_%281998_video_game%29","Source")</x:f>
        <x:v>Source</x:v>
      </x:c>
      <x:c r="BE303" s="11" t="str">
        <x:f>HYPERLINK("https://en.wikipedia.org/wiki/Cowboy_Bebop_(1998_video_game)","Wikipedia")</x:f>
        <x:v>Wikipedia</x:v>
      </x:c>
      <x:c r="BF303" s="11" t="str">
        <x:f>HYPERLINK("https://backloggd.com/search/games/Cowboy%20Bebop/","Backloggd")</x:f>
        <x:v>Backloggd</x:v>
      </x:c>
      <x:c r="BG303" s="9"/>
      <x:c r="BH303" s="9"/>
      <x:c r="BI303" s="12" t="str">
        <x:v>No</x:v>
      </x:c>
      <x:c r="BJ303" s="12" t="str"/>
      <x:c r="BK303" s="12" t="str">
        <x:v>No</x:v>
      </x:c>
      <x:c r="BL303" s="12" t="str"/>
      <x:c r="BM303" s="12" t="str"/>
      <x:c r="BN303" s="12" t="str"/>
      <x:c r="BO303" s="12" t="str"/>
      <x:c r="BP303" s="12" t="str"/>
      <x:c r="BQ303" s="12" t="str"/>
    </x:row>
    <x:row r="304">
      <x:c r="A304" s="9" t="str">
        <x:v>ps1-91</x:v>
      </x:c>
      <x:c r="B304" s="9" t="str">
        <x:v>ace-combat-3-electrosphere</x:v>
      </x:c>
      <x:c r="C304" s="9" t="str">
        <x:v>PlayStation</x:v>
      </x:c>
      <x:c r="D304" s="9" t="str">
        <x:v>Ace Combat 3: Electrosphere</x:v>
      </x:c>
      <x:c r="E304" s="9" t="str"/>
      <x:c r="F304" s="9" t="str">
        <x:v>Namco</x:v>
      </x:c>
      <x:c r="G304" s="9" t="str">
        <x:v>Namco (all regions)</x:v>
      </x:c>
      <x:c r="H304" s="9" t="n">
        <x:v>1999</x:v>
      </x:c>
      <x:c r="I304" s="9" t="str">
        <x:v>Yes</x:v>
      </x:c>
      <x:c r="J304" s="9" t="str">
        <x:v>Yes</x:v>
      </x:c>
      <x:c r="K304" s="9" t="str">
        <x:v>Yes</x:v>
      </x:c>
      <x:c r="L304" s="9" t="str">
        <x:v>No</x:v>
      </x:c>
      <x:c r="M304" s="9" t="str">
        <x:v>Flight combat</x:v>
      </x:c>
      <x:c r="N304" s="9" t="str">
        <x:v>Animated</x:v>
      </x:c>
      <x:c r="O304" s="9" t="n">
        <x:v>3</x:v>
      </x:c>
      <x:c r="P304" s="9" t="str">
        <x:v>Cutscenes only</x:v>
      </x:c>
      <x:c r="Q304" s="9" t="str">
        <x:v>Released</x:v>
      </x:c>
      <x:c r="R304" s="9" t="str">
        <x:v>Original production</x:v>
      </x:c>
      <x:c r="S304" s="9" t="str"/>
      <x:c r="T304" s="9" t="str">
        <x:v>—</x:v>
      </x:c>
      <x:c r="U304" s="9" t="n">
        <x:v>2</x:v>
      </x:c>
      <x:c r="V304" s="9" t="str">
        <x:v>Yes</x:v>
      </x:c>
      <x:c r="W304" s="9" t="str">
        <x:v>Memory card; DualShock/analog</x:v>
      </x:c>
      <x:c r="X304" s="9" t="str">
        <x:v>Low</x:v>
      </x:c>
      <x:c r="Y304" s="9" t="str"/>
      <x:c r="Z304" s="9" t="str">
        <x:v>6–10 hr (JP branching campaign)</x:v>
      </x:c>
      <x:c r="AA304" s="9" t="str">
        <x:v>The Japanese version is a branching sci-fi drama with Production I.G anime and CG movies; the West got a gutted one-disc cut.</x:v>
      </x:c>
      <x:c r="AB304" s="9" t="str">
        <x:v>None known</x:v>
      </x:c>
      <x:c r="AC304" s="9" t="str">
        <x:v>Full-screen anime and CG movies (Production I.G animation) on JP 2-disc version</x:v>
      </x:c>
      <x:c r="AD304" s="9" t="str">
        <x:v>Moderate</x:v>
      </x:c>
      <x:c r="AE304" s="9" t="str">
        <x:v>JP: 5 endings via 52 missions; NA/EU: single linear campaign</x:v>
      </x:c>
      <x:c r="AF304" s="9" t="str">
        <x:v>The Western release (2000) removed nearly all story, characters and anime, cutting to 36 missions on one disc; a fan translation restores the JP version in English.</x:v>
      </x:c>
      <x:c r="AG304" s="9" t="str">
        <x:v>JP 2 discs; NA/EU 1 disc with story removed</x:v>
      </x:c>
      <x:c r="AH304" s="9" t="str">
        <x:v>No</x:v>
      </x:c>
      <x:c r="AI304" s="9" t="str">
        <x:v>Easy</x:v>
      </x:c>
      <x:c r="AJ304" s="9"/>
      <x:c r="AK304" s="9" t="str">
        <x:v>discs=2 is the JP version (Western = 1). The anime FMV is a reason to play the JP version; NA/EU have little.</x:v>
      </x:c>
      <x:c r="AL304" s="10" t="n">
        <x:v>18.07</x:v>
      </x:c>
      <x:c r="AM304" s="10" t="n">
        <x:v>19.95</x:v>
      </x:c>
      <x:c r="AN304" s="10" t="n">
        <x:v>32.49</x:v>
      </x:c>
      <x:c r="AO304" s="9" t="str">
        <x:v>2026-10-21</x:v>
      </x:c>
      <x:c r="AP304" s="11" t="str">
        <x:f>HYPERLINK("https://www.pricecharting.com/game/jp-playstation/ace-combat-3-electrosphere","PriceCharting")</x:f>
        <x:v>PriceCharting</x:v>
      </x:c>
      <x:c r="AQ304" s="9"/>
      <x:c r="AR304" s="9"/>
      <x:c r="AS304" s="9"/>
      <x:c r="AT304" s="9"/>
      <x:c r="AU304" s="9"/>
      <x:c r="AV304" s="9"/>
      <x:c r="AW304" s="9"/>
      <x:c r="AX304" s="9"/>
      <x:c r="AY304" s="9"/>
      <x:c r="AZ304" s="9"/>
      <x:c r="BA304" s="11" t="str">
        <x:f>HYPERLINK("https://www.mobygames.com/search/?q=Ace+Combat+3%3A+Electrosphere","MobyGames")</x:f>
        <x:v>MobyGames</x:v>
      </x:c>
      <x:c r="BB304" s="9" t="str">
        <x:v>74%</x:v>
      </x:c>
      <x:c r="BC304" s="9" t="str">
        <x:v>GameRankings, 13 reviews</x:v>
      </x:c>
      <x:c r="BD304" s="9" t="str">
        <x:f>HYPERLINK("https://web.archive.org/web/20191209013243id_/https://www.gamerankings.com/ps/196536-ace-combat-3-electrosphere/","Source")</x:f>
        <x:v>Source</x:v>
      </x:c>
      <x:c r="BE304" s="11" t="str">
        <x:f>HYPERLINK("https://en.wikipedia.org/wiki/Ace_Combat_3:_Electrosphere","Wikipedia")</x:f>
        <x:v>Wikipedia</x:v>
      </x:c>
      <x:c r="BF304" s="11" t="str">
        <x:f>HYPERLINK("https://backloggd.com/search/games/Ace%20Combat%203%3A%20Electrosphere/","Backloggd")</x:f>
        <x:v>Backloggd</x:v>
      </x:c>
      <x:c r="BG304" s="9"/>
      <x:c r="BH304" s="9"/>
      <x:c r="BI304" s="12" t="str">
        <x:v>No</x:v>
      </x:c>
      <x:c r="BJ304" s="12" t="str"/>
      <x:c r="BK304" s="12" t="str">
        <x:v>No</x:v>
      </x:c>
      <x:c r="BL304" s="12" t="str"/>
      <x:c r="BM304" s="12" t="str"/>
      <x:c r="BN304" s="12" t="str"/>
      <x:c r="BO304" s="12" t="str"/>
      <x:c r="BP304" s="12" t="str"/>
      <x:c r="BQ304" s="12" t="str"/>
    </x:row>
    <x:row r="305">
      <x:c r="A305" s="9" t="str">
        <x:v>ps1-92</x:v>
      </x:c>
      <x:c r="B305" s="9" t="str">
        <x:v>street-fighter-ii-movie</x:v>
      </x:c>
      <x:c r="C305" s="9" t="str">
        <x:v>PlayStation</x:v>
      </x:c>
      <x:c r="D305" s="9" t="str">
        <x:v>Street Fighter II: The Interactive Movie</x:v>
      </x:c>
      <x:c r="E305" s="9" t="str">
        <x:v>Street Fighter II Movie (ストリートファイターII MOVIE)</x:v>
      </x:c>
      <x:c r="F305" s="9" t="str">
        <x:v>Capcom</x:v>
      </x:c>
      <x:c r="G305" s="9" t="str">
        <x:v>Capcom (JP)</x:v>
      </x:c>
      <x:c r="H305" s="9" t="n">
        <x:v>1995</x:v>
      </x:c>
      <x:c r="I305" s="9" t="str">
        <x:v>No</x:v>
      </x:c>
      <x:c r="J305" s="9" t="str">
        <x:v>Yes</x:v>
      </x:c>
      <x:c r="K305" s="9" t="str">
        <x:v>No</x:v>
      </x:c>
      <x:c r="L305" s="9" t="str">
        <x:v>No</x:v>
      </x:c>
      <x:c r="M305" s="9" t="str">
        <x:v>Interactive movie</x:v>
      </x:c>
      <x:c r="N305" s="9" t="str">
        <x:v>Animated</x:v>
      </x:c>
      <x:c r="O305" s="9" t="n">
        <x:v>10</x:v>
      </x:c>
      <x:c r="P305" s="9" t="str">
        <x:v>Interactive movie</x:v>
      </x:c>
      <x:c r="Q305" s="9" t="str">
        <x:v>Released</x:v>
      </x:c>
      <x:c r="R305" s="9" t="str">
        <x:v>Film license (Street Fighter II: The Animated Movie, 1994, Group TAC)</x:v>
      </x:c>
      <x:c r="S305" s="9" t="str">
        <x:v>Sega Saturn (JP, 1996)</x:v>
      </x:c>
      <x:c r="T305" s="9" t="str">
        <x:v>—</x:v>
      </x:c>
      <x:c r="U305" s="9" t="n">
        <x:v>2</x:v>
      </x:c>
      <x:c r="V305" s="9" t="str">
        <x:v>Unknown — verify</x:v>
      </x:c>
      <x:c r="W305" s="9" t="str">
        <x:v>Memory card</x:v>
      </x:c>
      <x:c r="X305" s="9" t="str">
        <x:v>Med–High</x:v>
      </x:c>
      <x:c r="Y305" s="9" t="str">
        <x:v>Footage from the 1994 Street Fighter II animated film (Toho/Group TAC) and its score</x:v>
      </x:c>
      <x:c r="Z305" s="9" t="str">
        <x:v>2–3 hr (verify)</x:v>
      </x:c>
      <x:c r="AA305" s="9" t="str">
        <x:v>You play a Shadaloo cyborg scanning the anime film's fights with a crosshair to learn moves, then face Ryu in a real SSF2T-engine bout.</x:v>
      </x:c>
      <x:c r="AB305" s="9" t="str">
        <x:v>None known</x:v>
      </x:c>
      <x:c r="AC305" s="9" t="str">
        <x:v>Full-screen anime footage from the film; PS1 quality (verify)</x:v>
      </x:c>
      <x:c r="AD305" s="9" t="str">
        <x:v>Low; timing of scans, plus one fighting-game battle at the end</x:v>
      </x:c>
      <x:c r="AE305" s="9" t="str">
        <x:v>Three endings depending on losing, winning or winning perfectly against Ryu; two are exclusive to the game</x:v>
      </x:c>
      <x:c r="AF305" s="9" t="str">
        <x:v>Disc 2 carries eight CD-audio tracks. The final fight uses the Super Street Fighter II Turbo engine, and finishing unlocks that mode.</x:v>
      </x:c>
      <x:c r="AG305" s="9" t="str">
        <x:v>SLPS-00080/00081 (2 discs)</x:v>
      </x:c>
      <x:c r="AH305" s="9" t="str">
        <x:v>No</x:v>
      </x:c>
      <x:c r="AI305" s="9" t="str">
        <x:v>Import</x:v>
      </x:c>
      <x:c r="AJ305" s="9"/>
      <x:c r="AK305" s="9" t="str">
        <x:v>JP only per psxdatacenter and Giant Bomb; no NA PlayStation release found (verify).</x:v>
      </x:c>
      <x:c r="AL305" s="10" t="n">
        <x:v>36.83</x:v>
      </x:c>
      <x:c r="AM305" s="10" t="n">
        <x:v>81.07</x:v>
      </x:c>
      <x:c r="AN305" s="10" t="n">
        <x:v>211</x:v>
      </x:c>
      <x:c r="AO305" s="9" t="str">
        <x:v>2026-10-21</x:v>
      </x:c>
      <x:c r="AP305" s="11" t="str">
        <x:f>HYPERLINK("https://www.pricecharting.com/game/jp-playstation/street-fighter-ii-the-interactive-movie","PriceCharting")</x:f>
        <x:v>PriceCharting</x:v>
      </x:c>
      <x:c r="AQ305" s="9"/>
      <x:c r="AR305" s="9"/>
      <x:c r="AS305" s="9"/>
      <x:c r="AT305" s="9"/>
      <x:c r="AU305" s="9"/>
      <x:c r="AV305" s="9"/>
      <x:c r="AW305" s="9"/>
      <x:c r="AX305" s="9"/>
      <x:c r="AY305" s="9"/>
      <x:c r="AZ305" s="9"/>
      <x:c r="BA305" s="11" t="str">
        <x:f>HYPERLINK("https://www.mobygames.com/search/?q=Street+Fighter+II%3A+The+Interactive+Movie","MobyGames")</x:f>
        <x:v>MobyGames</x:v>
      </x:c>
      <x:c r="BB305" s="9"/>
      <x:c r="BC305" s="9"/>
      <x:c r="BD305" s="9"/>
      <x:c r="BE305" s="9"/>
      <x:c r="BF305" s="11" t="str">
        <x:f>HYPERLINK("https://backloggd.com/search/games/Street%20Fighter%20II%3A%20The%20Interactive%20Movie/","Backloggd")</x:f>
        <x:v>Backloggd</x:v>
      </x:c>
      <x:c r="BG305" s="9"/>
      <x:c r="BH305" s="9"/>
      <x:c r="BI305" s="12" t="str">
        <x:v>No</x:v>
      </x:c>
      <x:c r="BJ305" s="12" t="str"/>
      <x:c r="BK305" s="12" t="str">
        <x:v>No</x:v>
      </x:c>
      <x:c r="BL305" s="12" t="str"/>
      <x:c r="BM305" s="12" t="str"/>
      <x:c r="BN305" s="12" t="str"/>
      <x:c r="BO305" s="12" t="str"/>
      <x:c r="BP305" s="12" t="str"/>
      <x:c r="BQ305" s="12" t="str"/>
    </x:row>
    <x:row r="306">
      <x:c r="A306" s="9" t="str">
        <x:v>ps1-93</x:v>
      </x:c>
      <x:c r="B306" s="9" t="str">
        <x:v>eurasia-express-satsujin-jiken</x:v>
      </x:c>
      <x:c r="C306" s="9" t="str">
        <x:v>PlayStation</x:v>
      </x:c>
      <x:c r="D306" s="9" t="str">
        <x:v>Eurasia Express Satsujin Jiken</x:v>
      </x:c>
      <x:c r="E306" s="9" t="str">
        <x:v>Murder on the Eurasia Express (ユーラシアエクスプレス殺人事件)</x:v>
      </x:c>
      <x:c r="F306" s="9" t="str">
        <x:v>System Sacom</x:v>
      </x:c>
      <x:c r="G306" s="9" t="str">
        <x:v>Enix (JP)</x:v>
      </x:c>
      <x:c r="H306" s="9" t="n">
        <x:v>1998</x:v>
      </x:c>
      <x:c r="I306" s="9" t="str">
        <x:v>No</x:v>
      </x:c>
      <x:c r="J306" s="9" t="str">
        <x:v>Yes</x:v>
      </x:c>
      <x:c r="K306" s="9" t="str">
        <x:v>No</x:v>
      </x:c>
      <x:c r="L306" s="9" t="str">
        <x:v>No</x:v>
      </x:c>
      <x:c r="M306" s="9" t="str">
        <x:v>Mystery adventure / interactive movie</x:v>
      </x:c>
      <x:c r="N306" s="9" t="str">
        <x:v>Live-action</x:v>
      </x:c>
      <x:c r="O306" s="9" t="n">
        <x:v>9</x:v>
      </x:c>
      <x:c r="P306" s="9" t="str">
        <x:v>Interactive movie</x:v>
      </x:c>
      <x:c r="Q306" s="9" t="str">
        <x:v>Released</x:v>
      </x:c>
      <x:c r="R306" s="9" t="str">
        <x:v>Original production</x:v>
      </x:c>
      <x:c r="S306" s="9" t="str"/>
      <x:c r="T306" s="9" t="str">
        <x:v>Kyoko Fukada, Chiharu Niiyama, Kanako Enomoto, Erika Mabuchi, Hitomi Satō, Ai Kato, Reika Nakajima, Hiromasa Taguchi</x:v>
      </x:c>
      <x:c r="U306" s="9" t="n">
        <x:v>4</x:v>
      </x:c>
      <x:c r="V306" s="9" t="str">
        <x:v>Yes (memory card, 1 block)</x:v>
      </x:c>
      <x:c r="W306" s="9" t="str">
        <x:v>Memory card</x:v>
      </x:c>
      <x:c r="X306" s="9" t="str">
        <x:v>Low</x:v>
      </x:c>
      <x:c r="Y306" s="9" t="str"/>
      <x:c r="Z306" s="9" t="str">
        <x:v>2 hr real-time limit per run (multiple runs to solve)</x:v>
      </x:c>
      <x:c r="AA306" s="9" t="str">
        <x:v>Late-90s Japanese idols star in a fully live-action train murder mystery you must solve in two real-time hours.</x:v>
      </x:c>
      <x:c r="AB306" s="9" t="str">
        <x:v>None known</x:v>
      </x:c>
      <x:c r="AC306" s="9" t="str">
        <x:v>Live-action FMV throughout (window size verify)</x:v>
      </x:c>
      <x:c r="AD306" s="9" t="str">
        <x:v>Timed; dialogue choices and item gathering, Japanese text required</x:v>
      </x:c>
      <x:c r="AE306" s="9" t="str">
        <x:v>Solve or fail within the time limit; multiple outcomes (verify)</x:v>
      </x:c>
      <x:c r="AF306" s="9" t="str">
        <x:v>First of System Sacom's 'Cinema Active' series (Love Story on PS2 followed); includes walk-on cameos by game industry figures.</x:v>
      </x:c>
      <x:c r="AG306" s="9" t="str"/>
      <x:c r="AH306" s="9" t="str">
        <x:v>No</x:v>
      </x:c>
      <x:c r="AI306" s="9" t="str">
        <x:v>Import</x:v>
      </x:c>
      <x:c r="AJ306" s="9"/>
      <x:c r="AK306" s="9" t="str">
        <x:v>JP only. Wikipedia: presented entirely in live-action FMV. Disc count unverified; LP Archive has a full Let's Play.</x:v>
      </x:c>
      <x:c r="AL306" s="10"/>
      <x:c r="AM306" s="10"/>
      <x:c r="AN306" s="10"/>
      <x:c r="AO306" s="9"/>
      <x:c r="AP306" s="11" t="str">
        <x:f>HYPERLINK("https://www.pricecharting.com/game/jp-playstation/eurasia-express-satsujin-jiken","PriceCharting")</x:f>
        <x:v>PriceCharting</x:v>
      </x:c>
      <x:c r="AQ306" s="9"/>
      <x:c r="AR306" s="9"/>
      <x:c r="AS306" s="9"/>
      <x:c r="AT306" s="9"/>
      <x:c r="AU306" s="9"/>
      <x:c r="AV306" s="9"/>
      <x:c r="AW306" s="9"/>
      <x:c r="AX306" s="9"/>
      <x:c r="AY306" s="9"/>
      <x:c r="AZ306" s="9"/>
      <x:c r="BA306" s="11" t="str">
        <x:f>HYPERLINK("https://www.mobygames.com/search/?q=Eurasia+Express+Satsujin+Jiken","MobyGames")</x:f>
        <x:v>MobyGames</x:v>
      </x:c>
      <x:c r="BB306" s="9"/>
      <x:c r="BC306" s="9"/>
      <x:c r="BD306" s="9"/>
      <x:c r="BE306" s="11" t="str">
        <x:f>HYPERLINK("https://en.wikipedia.org/wiki/Murder_on_the_Eurasia_Express","Wikipedia")</x:f>
        <x:v>Wikipedia</x:v>
      </x:c>
      <x:c r="BF306" s="11" t="str">
        <x:f>HYPERLINK("https://backloggd.com/search/games/Eurasia%20Express%20Satsujin%20Jiken/","Backloggd")</x:f>
        <x:v>Backloggd</x:v>
      </x:c>
      <x:c r="BG306" s="9"/>
      <x:c r="BH306" s="9"/>
      <x:c r="BI306" s="12" t="str">
        <x:v>No</x:v>
      </x:c>
      <x:c r="BJ306" s="12" t="str"/>
      <x:c r="BK306" s="12" t="str">
        <x:v>No</x:v>
      </x:c>
      <x:c r="BL306" s="12" t="str"/>
      <x:c r="BM306" s="12" t="str"/>
      <x:c r="BN306" s="12" t="str"/>
      <x:c r="BO306" s="12" t="str"/>
      <x:c r="BP306" s="12" t="str"/>
      <x:c r="BQ306" s="12" t="str"/>
    </x:row>
    <x:row r="307">
      <x:c r="A307" s="9" t="str">
        <x:v>ps1-94</x:v>
      </x:c>
      <x:c r="B307" s="9" t="str">
        <x:v>animetic-story-game-1-cardcaptor-sakura</x:v>
      </x:c>
      <x:c r="C307" s="9" t="str">
        <x:v>PlayStation</x:v>
      </x:c>
      <x:c r="D307" s="9" t="str">
        <x:v>Animetic Story Game 1: Cardcaptor Sakura</x:v>
      </x:c>
      <x:c r="E307" s="9" t="str">
        <x:v>アニメチック・ストーリーゲーム1 カードキャプターさくら</x:v>
      </x:c>
      <x:c r="F307" s="9" t="str">
        <x:v>Arika (verify)</x:v>
      </x:c>
      <x:c r="G307" s="9" t="str">
        <x:v>Arika (JP) (verify)</x:v>
      </x:c>
      <x:c r="H307" s="9" t="n">
        <x:v>1999</x:v>
      </x:c>
      <x:c r="I307" s="9" t="str">
        <x:v>No</x:v>
      </x:c>
      <x:c r="J307" s="9" t="str">
        <x:v>Yes</x:v>
      </x:c>
      <x:c r="K307" s="9" t="str">
        <x:v>No</x:v>
      </x:c>
      <x:c r="L307" s="9" t="str">
        <x:v>No</x:v>
      </x:c>
      <x:c r="M307" s="9" t="str">
        <x:v>Interactive anime adventure</x:v>
      </x:c>
      <x:c r="N307" s="9" t="str">
        <x:v>Animated</x:v>
      </x:c>
      <x:c r="O307" s="9" t="n">
        <x:v>8</x:v>
      </x:c>
      <x:c r="P307" s="9" t="str">
        <x:v>FMV adventure</x:v>
      </x:c>
      <x:c r="Q307" s="9" t="str">
        <x:v>Released</x:v>
      </x:c>
      <x:c r="R307" s="9" t="str">
        <x:v>TV anime license (Cardcaptor Sakura, Madhouse/CLAMP)</x:v>
      </x:c>
      <x:c r="S307" s="9" t="str"/>
      <x:c r="T307" s="9" t="str">
        <x:v>—</x:v>
      </x:c>
      <x:c r="U307" s="9" t="n">
        <x:v>2</x:v>
      </x:c>
      <x:c r="V307" s="9" t="str">
        <x:v>Yes (verify)</x:v>
      </x:c>
      <x:c r="W307" s="9" t="str">
        <x:v>Memory card</x:v>
      </x:c>
      <x:c r="X307" s="9" t="str">
        <x:v>Med</x:v>
      </x:c>
      <x:c r="Y307" s="9" t="str">
        <x:v>Licensed anime footage, voices and theme music from the Cardcaptor Sakura TV series (NHK/Madhouse)</x:v>
      </x:c>
      <x:c r="Z307" s="9" t="str">
        <x:v>3–5 hr (verify)</x:v>
      </x:c>
      <x:c r="AA307" s="9" t="str">
        <x:v>A two-disc interactive Cardcaptor Sakura episode built from anime video, playable in English via a fan patch.</x:v>
      </x:c>
      <x:c r="AB307" s="9" t="str">
        <x:v>None known</x:v>
      </x:c>
      <x:c r="AC307" s="9" t="str">
        <x:v>Anime FMV (window size and frame rate verify)</x:v>
      </x:c>
      <x:c r="AD307" s="9" t="str">
        <x:v>Low</x:v>
      </x:c>
      <x:c r="AE307" s="9" t="str">
        <x:v>Unknown — verify</x:v>
      </x:c>
      <x:c r="AF307" s="9" t="str">
        <x:v>An English fan translation patch exists.</x:v>
      </x:c>
      <x:c r="AG307" s="9" t="str"/>
      <x:c r="AH307" s="9" t="str">
        <x:v>No</x:v>
      </x:c>
      <x:c r="AI307" s="9" t="str">
        <x:v>Import</x:v>
      </x:c>
      <x:c r="AJ307" s="9"/>
      <x:c r="AK307" s="9" t="str">
        <x:v>JP only. Publisher/developer attribution and FMV share unverified; candidate notes say built from anime video.</x:v>
      </x:c>
      <x:c r="AL307" s="10" t="n">
        <x:v>8.1</x:v>
      </x:c>
      <x:c r="AM307" s="10" t="n">
        <x:v>16.48</x:v>
      </x:c>
      <x:c r="AN307" s="10" t="n">
        <x:v>43</x:v>
      </x:c>
      <x:c r="AO307" s="9" t="str">
        <x:v>2026-10-21</x:v>
      </x:c>
      <x:c r="AP307" s="11" t="str">
        <x:f>HYPERLINK("https://www.pricecharting.com/game/jp-playstation/animetic-story-game-1-cardcaptor-sakura","PriceCharting")</x:f>
        <x:v>PriceCharting</x:v>
      </x:c>
      <x:c r="AQ307" s="9"/>
      <x:c r="AR307" s="9"/>
      <x:c r="AS307" s="9"/>
      <x:c r="AT307" s="9"/>
      <x:c r="AU307" s="9"/>
      <x:c r="AV307" s="9"/>
      <x:c r="AW307" s="9"/>
      <x:c r="AX307" s="9"/>
      <x:c r="AY307" s="9"/>
      <x:c r="AZ307" s="9"/>
      <x:c r="BA307" s="11" t="str">
        <x:f>HYPERLINK("https://www.mobygames.com/search/?q=Animetic+Story+Game+1%3A+Cardcaptor+Sakura","MobyGames")</x:f>
        <x:v>MobyGames</x:v>
      </x:c>
      <x:c r="BB307" s="9"/>
      <x:c r="BC307" s="9"/>
      <x:c r="BD307" s="9"/>
      <x:c r="BE307" s="9"/>
      <x:c r="BF307" s="11" t="str">
        <x:f>HYPERLINK("https://backloggd.com/search/games/Animetic%20Story%20Game%201%3A%20Cardcaptor%20Sakura/","Backloggd")</x:f>
        <x:v>Backloggd</x:v>
      </x:c>
      <x:c r="BG307" s="9"/>
      <x:c r="BH307" s="9"/>
      <x:c r="BI307" s="12" t="str">
        <x:v>No</x:v>
      </x:c>
      <x:c r="BJ307" s="12" t="str"/>
      <x:c r="BK307" s="12" t="str">
        <x:v>No</x:v>
      </x:c>
      <x:c r="BL307" s="12" t="str"/>
      <x:c r="BM307" s="12" t="str"/>
      <x:c r="BN307" s="12" t="str"/>
      <x:c r="BO307" s="12" t="str"/>
      <x:c r="BP307" s="12" t="str"/>
      <x:c r="BQ307" s="12" t="str"/>
    </x:row>
    <x:row r="308">
      <x:c r="A308" s="9" t="str">
        <x:v>ps1-95</x:v>
      </x:c>
      <x:c r="B308" s="9" t="str">
        <x:v>gadget-past-as-future</x:v>
      </x:c>
      <x:c r="C308" s="9" t="str">
        <x:v>PlayStation</x:v>
      </x:c>
      <x:c r="D308" s="9" t="str">
        <x:v>Gadget: Past as Future</x:v>
      </x:c>
      <x:c r="E308" s="9" t="str">
        <x:v>Gadget: Invention, Travel &amp; Adventure (ガジェット)</x:v>
      </x:c>
      <x:c r="F308" s="9" t="str">
        <x:v>Synergy Inc.</x:v>
      </x:c>
      <x:c r="G308" s="9" t="str">
        <x:v>Synergy (JP)</x:v>
      </x:c>
      <x:c r="H308" s="9" t="n">
        <x:v>1997</x:v>
      </x:c>
      <x:c r="I308" s="9" t="str">
        <x:v>No</x:v>
      </x:c>
      <x:c r="J308" s="9" t="str">
        <x:v>Yes</x:v>
      </x:c>
      <x:c r="K308" s="9" t="str">
        <x:v>No</x:v>
      </x:c>
      <x:c r="L308" s="9" t="str">
        <x:v>No</x:v>
      </x:c>
      <x:c r="M308" s="9" t="str">
        <x:v>CG movie adventure</x:v>
      </x:c>
      <x:c r="N308" s="9" t="str">
        <x:v>Pre-rendered CG</x:v>
      </x:c>
      <x:c r="O308" s="9" t="n">
        <x:v>7</x:v>
      </x:c>
      <x:c r="P308" s="9" t="str">
        <x:v>Pre-rendered CG</x:v>
      </x:c>
      <x:c r="Q308" s="9" t="str">
        <x:v>Released</x:v>
      </x:c>
      <x:c r="R308" s="9" t="str">
        <x:v>PC/Mac original (Gadget, 1993; Past as Future is the expanded version)</x:v>
      </x:c>
      <x:c r="S308" s="9" t="str">
        <x:v>Mac, Windows</x:v>
      </x:c>
      <x:c r="T308" s="9" t="str">
        <x:v>—</x:v>
      </x:c>
      <x:c r="U308" s="9" t="n">
        <x:v>4</x:v>
      </x:c>
      <x:c r="V308" s="9" t="str">
        <x:v>Yes (memory card, 1 block)</x:v>
      </x:c>
      <x:c r="W308" s="9" t="str">
        <x:v>Memory card</x:v>
      </x:c>
      <x:c r="X308" s="9" t="str">
        <x:v>Low</x:v>
      </x:c>
      <x:c r="Y308" s="9" t="str"/>
      <x:c r="Z308" s="9" t="str">
        <x:v>2–3 hr (verify)</x:v>
      </x:c>
      <x:c r="AA308" s="9" t="str">
        <x:v>Haruhiko Shono's eerie retro-futurist CG journey of trains, inventors and doom, a cult art-game rarely seen on PS1.</x:v>
      </x:c>
      <x:c r="AB308" s="9" t="str">
        <x:v>None known</x:v>
      </x:c>
      <x:c r="AC308" s="9" t="str">
        <x:v>Streamed pre-rendered CG for travel and scenes (size/frame rate verify)</x:v>
      </x:c>
      <x:c r="AD308" s="9" t="str">
        <x:v>Low; exploration with few puzzles</x:v>
      </x:c>
      <x:c r="AE308" s="9" t="str">
        <x:v>Single ending (verify)</x:v>
      </x:c>
      <x:c r="AF308" s="9" t="str">
        <x:v>Created by Haruhiko Shono at Synergy; the PS1 version is the 'Past as Future' edition.</x:v>
      </x:c>
      <x:c r="AG308" s="9" t="str">
        <x:v>SLPS-01082 (verify)</x:v>
      </x:c>
      <x:c r="AH308" s="9" t="str">
        <x:v>No</x:v>
      </x:c>
      <x:c r="AI308" s="9" t="str">
        <x:v>Import</x:v>
      </x:c>
      <x:c r="AJ308" s="9"/>
      <x:c r="AK308" s="9" t="str">
        <x:v>JP only. Released 27 November 1997 by Synergy (PlayStation Datacenter).</x:v>
      </x:c>
      <x:c r="AL308" s="10"/>
      <x:c r="AM308" s="10" t="n">
        <x:v>37</x:v>
      </x:c>
      <x:c r="AN308" s="10" t="n">
        <x:v>14.08</x:v>
      </x:c>
      <x:c r="AO308" s="9" t="str">
        <x:v>2026-10-21</x:v>
      </x:c>
      <x:c r="AP308" s="11" t="str">
        <x:f>HYPERLINK("https://www.pricecharting.com/game/jp-playstation/gadget-past-as-future","PriceCharting")</x:f>
        <x:v>PriceCharting</x:v>
      </x:c>
      <x:c r="AQ308" s="9"/>
      <x:c r="AR308" s="9"/>
      <x:c r="AS308" s="9"/>
      <x:c r="AT308" s="9"/>
      <x:c r="AU308" s="9"/>
      <x:c r="AV308" s="9"/>
      <x:c r="AW308" s="9"/>
      <x:c r="AX308" s="9"/>
      <x:c r="AY308" s="9"/>
      <x:c r="AZ308" s="9"/>
      <x:c r="BA308" s="11" t="str">
        <x:f>HYPERLINK("https://www.mobygames.com/search/?q=Gadget%3A+Past+as+Future","MobyGames")</x:f>
        <x:v>MobyGames</x:v>
      </x:c>
      <x:c r="BB308" s="9"/>
      <x:c r="BC308" s="9"/>
      <x:c r="BD308" s="9"/>
      <x:c r="BE308" s="11" t="str">
        <x:f>HYPERLINK("https://en.wikipedia.org/wiki/Gadget:_Invention,_Travel,_%26_Adventure","Wikipedia")</x:f>
        <x:v>Wikipedia</x:v>
      </x:c>
      <x:c r="BF308" s="11" t="str">
        <x:f>HYPERLINK("https://backloggd.com/search/games/Gadget%3A%20Past%20as%20Future/","Backloggd")</x:f>
        <x:v>Backloggd</x:v>
      </x:c>
      <x:c r="BG308" s="9"/>
      <x:c r="BH308" s="9"/>
      <x:c r="BI308" s="12" t="str">
        <x:v>No</x:v>
      </x:c>
      <x:c r="BJ308" s="12" t="str"/>
      <x:c r="BK308" s="12" t="str">
        <x:v>No</x:v>
      </x:c>
      <x:c r="BL308" s="12" t="str"/>
      <x:c r="BM308" s="12" t="str"/>
      <x:c r="BN308" s="12" t="str"/>
      <x:c r="BO308" s="12" t="str"/>
      <x:c r="BP308" s="12" t="str"/>
      <x:c r="BQ308" s="12" t="str"/>
    </x:row>
    <x:row r="309">
      <x:c r="A309" s="9" t="str">
        <x:v>ps1-96</x:v>
      </x:c>
      <x:c r="B309" s="9" t="str">
        <x:v>the-book-of-watermarks</x:v>
      </x:c>
      <x:c r="C309" s="9" t="str">
        <x:v>PlayStation</x:v>
      </x:c>
      <x:c r="D309" s="9" t="str">
        <x:v>The Book of Watermarks</x:v>
      </x:c>
      <x:c r="E309" s="9" t="str">
        <x:v>ブック・オブ・ウォーターマークス</x:v>
      </x:c>
      <x:c r="F309" s="9" t="str">
        <x:v>Watermarks (designer Takashi Kobayashi; producer Ryoji Akagawa)</x:v>
      </x:c>
      <x:c r="G309" s="9" t="str">
        <x:v>Sony Computer Entertainment (JP)</x:v>
      </x:c>
      <x:c r="H309" s="9" t="n">
        <x:v>1999</x:v>
      </x:c>
      <x:c r="I309" s="9" t="str">
        <x:v>No</x:v>
      </x:c>
      <x:c r="J309" s="9" t="str">
        <x:v>Yes</x:v>
      </x:c>
      <x:c r="K309" s="9" t="str">
        <x:v>No</x:v>
      </x:c>
      <x:c r="L309" s="9" t="str">
        <x:v>No</x:v>
      </x:c>
      <x:c r="M309" s="9" t="str">
        <x:v>First-person puzzle adventure</x:v>
      </x:c>
      <x:c r="N309" s="9" t="str">
        <x:v>Live-action + CG</x:v>
      </x:c>
      <x:c r="O309" s="9" t="n">
        <x:v>5</x:v>
      </x:c>
      <x:c r="P309" s="9" t="str">
        <x:v>FMV adventure</x:v>
      </x:c>
      <x:c r="Q309" s="9" t="str">
        <x:v>Released</x:v>
      </x:c>
      <x:c r="R309" s="9" t="str">
        <x:v>Original production (inspired by The Tempest / Prospero's Books)</x:v>
      </x:c>
      <x:c r="S309" s="9" t="str"/>
      <x:c r="T309" s="9" t="str">
        <x:v>Jack Donner (Prospero)</x:v>
      </x:c>
      <x:c r="U309" s="9" t="n">
        <x:v>2</x:v>
      </x:c>
      <x:c r="V309" s="9" t="str">
        <x:v>Yes (verify)</x:v>
      </x:c>
      <x:c r="W309" s="9" t="str">
        <x:v>Memory card</x:v>
      </x:c>
      <x:c r="X309" s="9" t="str">
        <x:v>Low–Med</x:v>
      </x:c>
      <x:c r="Y309" s="9" t="str">
        <x:v>Music co-composed by Moya Brennan (Clannad); one track on an SCEJ compilation</x:v>
      </x:c>
      <x:c r="Z309" s="9" t="str">
        <x:v>2–3 hr</x:v>
      </x:c>
      <x:c r="AA309" s="9" t="str">
        <x:v>A Myst-like PS1 rarity where Shakespeare's Prospero hunts his twelve missing magic books, scored partly by Clannad's Moya Brennan.</x:v>
      </x:c>
      <x:c r="AB309" s="9" t="str">
        <x:v>None known</x:v>
      </x:c>
      <x:c r="AC309" s="9" t="str">
        <x:v>Pre-rendered movement video between scenes plus collage-style Prospero video segments (live-action unconfirmed)</x:v>
      </x:c>
      <x:c r="AD309" s="9" t="str">
        <x:v>Symbol-matching and item puzzles; slow movement</x:v>
      </x:c>
      <x:c r="AE309" s="9" t="str">
        <x:v>Single ending with a twist (verify)</x:v>
      </x:c>
      <x:c r="AF309" s="9" t="str">
        <x:v>Heavily influenced by Peter Greenaway's Prospero's Books and Borges's The Library of Babel; mostly English speech with Japanese subtitles.</x:v>
      </x:c>
      <x:c r="AG309" s="9" t="str">
        <x:v>SCPS-10094</x:v>
      </x:c>
      <x:c r="AH309" s="9" t="str">
        <x:v>No</x:v>
      </x:c>
      <x:c r="AI309" s="9" t="str">
        <x:v>Import</x:v>
      </x:c>
      <x:c r="AJ309" s="9"/>
      <x:c r="AK309" s="9" t="str">
        <x:v>JP only. Released 15 July 1999 (Wikipedia; Obscuritory agrees), psxdatacenter SCPS-10094. Prospero is played by the actor Jack Donner (Wikipedia).</x:v>
      </x:c>
      <x:c r="AL309" s="10"/>
      <x:c r="AM309" s="10" t="n">
        <x:v>35.71</x:v>
      </x:c>
      <x:c r="AN309" s="10" t="n">
        <x:v>93</x:v>
      </x:c>
      <x:c r="AO309" s="9" t="str">
        <x:v>2026-10-21</x:v>
      </x:c>
      <x:c r="AP309" s="11" t="str">
        <x:f>HYPERLINK("https://www.pricecharting.com/game/jp-playstation/the-book-of-watermarks","PriceCharting")</x:f>
        <x:v>PriceCharting</x:v>
      </x:c>
      <x:c r="AQ309" s="9"/>
      <x:c r="AR309" s="9"/>
      <x:c r="AS309" s="9"/>
      <x:c r="AT309" s="9"/>
      <x:c r="AU309" s="9"/>
      <x:c r="AV309" s="9"/>
      <x:c r="AW309" s="9"/>
      <x:c r="AX309" s="9"/>
      <x:c r="AY309" s="9"/>
      <x:c r="AZ309" s="9"/>
      <x:c r="BA309" s="11" t="str">
        <x:f>HYPERLINK("https://www.mobygames.com/search/?q=The+Book+of+Watermarks","MobyGames")</x:f>
        <x:v>MobyGames</x:v>
      </x:c>
      <x:c r="BB309" s="9"/>
      <x:c r="BC309" s="9"/>
      <x:c r="BD309" s="9"/>
      <x:c r="BE309" s="11" t="str">
        <x:f>HYPERLINK("https://en.wikipedia.org/wiki/The_Book_of_Watermarks","Wikipedia")</x:f>
        <x:v>Wikipedia</x:v>
      </x:c>
      <x:c r="BF309" s="11" t="str">
        <x:f>HYPERLINK("https://backloggd.com/search/games/The%20Book%20of%20Watermarks/","Backloggd")</x:f>
        <x:v>Backloggd</x:v>
      </x:c>
      <x:c r="BG309" s="9"/>
      <x:c r="BH309" s="9"/>
      <x:c r="BI309" s="12" t="str">
        <x:v>No</x:v>
      </x:c>
      <x:c r="BJ309" s="12" t="str"/>
      <x:c r="BK309" s="12" t="str">
        <x:v>No</x:v>
      </x:c>
      <x:c r="BL309" s="12" t="str"/>
      <x:c r="BM309" s="12" t="str"/>
      <x:c r="BN309" s="12" t="str"/>
      <x:c r="BO309" s="12" t="str"/>
      <x:c r="BP309" s="12" t="str"/>
      <x:c r="BQ309" s="12" t="str"/>
    </x:row>
    <x:row r="310">
      <x:c r="A310" s="9" t="str">
        <x:v>ps1-97</x:v>
      </x:c>
      <x:c r="B310" s="9" t="str">
        <x:v>uchuu-senkan-yamato-harukanaru-hoshi-iscandar</x:v>
      </x:c>
      <x:c r="C310" s="9" t="str">
        <x:v>PlayStation</x:v>
      </x:c>
      <x:c r="D310" s="9" t="str">
        <x:v>Uchuu Senkan Yamato: Harukanaru Hoshi Iscandar</x:v>
      </x:c>
      <x:c r="E310" s="9" t="str">
        <x:v>Space Battleship Yamato: Harukanaru Hoshi Iscandar (宇宙戦艦ヤマト 遥かなる星イスカンダル)</x:v>
      </x:c>
      <x:c r="F310" s="9" t="str">
        <x:v>Vingt-et-un Systems (published by Bandai)</x:v>
      </x:c>
      <x:c r="G310" s="9" t="str">
        <x:v>Bandai (JP)</x:v>
      </x:c>
      <x:c r="H310" s="9" t="n">
        <x:v>1999</x:v>
      </x:c>
      <x:c r="I310" s="9" t="str">
        <x:v>No</x:v>
      </x:c>
      <x:c r="J310" s="9" t="str">
        <x:v>Yes</x:v>
      </x:c>
      <x:c r="K310" s="9" t="str">
        <x:v>No</x:v>
      </x:c>
      <x:c r="L310" s="9" t="str">
        <x:v>No</x:v>
      </x:c>
      <x:c r="M310" s="9" t="str">
        <x:v>Strategy / story adventure</x:v>
      </x:c>
      <x:c r="N310" s="9" t="str">
        <x:v>Animated</x:v>
      </x:c>
      <x:c r="O310" s="9" t="n">
        <x:v>4</x:v>
      </x:c>
      <x:c r="P310" s="9" t="str">
        <x:v>Cutscenes only</x:v>
      </x:c>
      <x:c r="Q310" s="9" t="str">
        <x:v>Released</x:v>
      </x:c>
      <x:c r="R310" s="9" t="str">
        <x:v>TV anime license (Space Battleship Yamato, 1974)</x:v>
      </x:c>
      <x:c r="S310" s="9" t="str"/>
      <x:c r="T310" s="9" t="str">
        <x:v>—</x:v>
      </x:c>
      <x:c r="U310" s="9" t="n">
        <x:v>1</x:v>
      </x:c>
      <x:c r="V310" s="9" t="str">
        <x:v>Yes</x:v>
      </x:c>
      <x:c r="W310" s="9" t="str">
        <x:v>Memory card</x:v>
      </x:c>
      <x:c r="X310" s="9" t="str">
        <x:v>Med–High</x:v>
      </x:c>
      <x:c r="Y310" s="9" t="str">
        <x:v>Space Battleship Yamato theme and score; reused TV footage</x:v>
      </x:c>
      <x:c r="Z310" s="9" t="str">
        <x:v>10–15 hr (verify)</x:v>
      </x:c>
      <x:c r="AA310" s="9" t="str">
        <x:v>Roughly two hours of cutscenes retell Yamato's voyage to Iscandar, including about 25 minutes of newly drawn animation.</x:v>
      </x:c>
      <x:c r="AB310" s="9" t="str">
        <x:v>None known</x:v>
      </x:c>
      <x:c r="AC310" s="9" t="str">
        <x:v>About 25 min of new full animation (over half drawn from the last three TV episodes) plus CG 'puppet show' scenes and model shots</x:v>
      </x:c>
      <x:c r="AD310" s="9" t="str">
        <x:v>Moderate fleet battles</x:v>
      </x:c>
      <x:c r="AE310" s="9" t="str">
        <x:v>Single (verify)</x:v>
      </x:c>
      <x:c r="AF310" s="9" t="str">
        <x:v>The cutscenes alone take about two hours to watch, according to Our Star Blazers.</x:v>
      </x:c>
      <x:c r="AG310" s="9" t="str">
        <x:v>SLPS-01900; Bandai the Best SLPS-03234 (2001)</x:v>
      </x:c>
      <x:c r="AH310" s="9" t="str">
        <x:v>No</x:v>
      </x:c>
      <x:c r="AI310" s="9" t="str">
        <x:v>Import</x:v>
      </x:c>
      <x:c r="AJ310" s="9"/>
      <x:c r="AK310" s="9" t="str">
        <x:v>JP only. Feb 1999.</x:v>
      </x:c>
      <x:c r="AL310" s="10"/>
      <x:c r="AM310" s="10"/>
      <x:c r="AN310" s="10"/>
      <x:c r="AO310" s="9"/>
      <x:c r="AP310" s="11" t="str">
        <x:f>HYPERLINK("https://www.pricecharting.com/search-products?q=Uchuu+Senkan+Yamato%3A+Harukanaru+Hoshi+Iscandar+playstation&amp;type=prices","PriceCharting")</x:f>
        <x:v>PriceCharting</x:v>
      </x:c>
      <x:c r="AQ310" s="9"/>
      <x:c r="AR310" s="9"/>
      <x:c r="AS310" s="9"/>
      <x:c r="AT310" s="9"/>
      <x:c r="AU310" s="9"/>
      <x:c r="AV310" s="9"/>
      <x:c r="AW310" s="9"/>
      <x:c r="AX310" s="9"/>
      <x:c r="AY310" s="9"/>
      <x:c r="AZ310" s="9"/>
      <x:c r="BA310" s="11" t="str">
        <x:f>HYPERLINK("https://www.mobygames.com/search/?q=Uchuu+Senkan+Yamato%3A+Harukanaru+Hoshi+Iscandar","MobyGames")</x:f>
        <x:v>MobyGames</x:v>
      </x:c>
      <x:c r="BB310" s="9"/>
      <x:c r="BC310" s="9"/>
      <x:c r="BD310" s="9"/>
      <x:c r="BE310" s="11" t="str">
        <x:f>HYPERLINK("https://en.wikipedia.org/wiki/Space_Battleship_Yamato:_Harukanaru_Hoshi_Iscandar","Wikipedia")</x:f>
        <x:v>Wikipedia</x:v>
      </x:c>
      <x:c r="BF310" s="11" t="str">
        <x:f>HYPERLINK("https://backloggd.com/search/games/Uchuu%20Senkan%20Yamato%3A%20Harukanaru%20Hoshi%20Iscandar/","Backloggd")</x:f>
        <x:v>Backloggd</x:v>
      </x:c>
      <x:c r="BG310" s="9"/>
      <x:c r="BH310" s="9"/>
      <x:c r="BI310" s="12" t="str">
        <x:v>No</x:v>
      </x:c>
      <x:c r="BJ310" s="12" t="str"/>
      <x:c r="BK310" s="12" t="str">
        <x:v>No</x:v>
      </x:c>
      <x:c r="BL310" s="12" t="str"/>
      <x:c r="BM310" s="12" t="str"/>
      <x:c r="BN310" s="12" t="str"/>
      <x:c r="BO310" s="12" t="str"/>
      <x:c r="BP310" s="12" t="str"/>
      <x:c r="BQ310" s="12" t="str"/>
    </x:row>
    <x:row r="311">
      <x:c r="A311" s="9" t="str">
        <x:v>ps1-98</x:v>
      </x:c>
      <x:c r="B311" s="9" t="str">
        <x:v>saraba-uchuu-senkan-yamato-ai-no-senshitachi</x:v>
      </x:c>
      <x:c r="C311" s="9" t="str">
        <x:v>PlayStation</x:v>
      </x:c>
      <x:c r="D311" s="9" t="str">
        <x:v>Saraba Uchuu Senkan Yamato: Ai no Senshitachi</x:v>
      </x:c>
      <x:c r="E311" s="9" t="str">
        <x:v>Farewell to Space Battleship Yamato: Soldiers of Love (さらば宇宙戦艦ヤマト 愛の戦士たち)</x:v>
      </x:c>
      <x:c r="F311" s="9" t="str">
        <x:v>Bandai (verify)</x:v>
      </x:c>
      <x:c r="G311" s="9" t="str">
        <x:v>Bandai (JP)</x:v>
      </x:c>
      <x:c r="H311" s="9" t="n">
        <x:v>2000</x:v>
      </x:c>
      <x:c r="I311" s="9" t="str">
        <x:v>No</x:v>
      </x:c>
      <x:c r="J311" s="9" t="str">
        <x:v>Yes</x:v>
      </x:c>
      <x:c r="K311" s="9" t="str">
        <x:v>No</x:v>
      </x:c>
      <x:c r="L311" s="9" t="str">
        <x:v>No</x:v>
      </x:c>
      <x:c r="M311" s="9" t="str">
        <x:v>Strategy / story adventure</x:v>
      </x:c>
      <x:c r="N311" s="9" t="str">
        <x:v>Animated</x:v>
      </x:c>
      <x:c r="O311" s="9" t="n">
        <x:v>4</x:v>
      </x:c>
      <x:c r="P311" s="9" t="str">
        <x:v>Cutscenes only</x:v>
      </x:c>
      <x:c r="Q311" s="9" t="str">
        <x:v>Released</x:v>
      </x:c>
      <x:c r="R311" s="9" t="str">
        <x:v>Anime film license (Farewell to Space Battleship Yamato, 1978)</x:v>
      </x:c>
      <x:c r="S311" s="9" t="str"/>
      <x:c r="T311" s="9" t="str">
        <x:v>—</x:v>
      </x:c>
      <x:c r="U311" s="9" t="n">
        <x:v>3</x:v>
      </x:c>
      <x:c r="V311" s="9" t="str">
        <x:v>Yes</x:v>
      </x:c>
      <x:c r="W311" s="9" t="str">
        <x:v>Memory card</x:v>
      </x:c>
      <x:c r="X311" s="9" t="str">
        <x:v>Med–High</x:v>
      </x:c>
      <x:c r="Y311" s="9" t="str">
        <x:v>Yamato theme and score</x:v>
      </x:c>
      <x:c r="Z311" s="9" t="str">
        <x:v>10–15 hr (verify)</x:v>
      </x:c>
      <x:c r="AA311" s="9" t="str">
        <x:v>About 40 minutes of new Yamato animation, including alternate branching scenes, across three discs.</x:v>
      </x:c>
      <x:c r="AB311" s="9" t="str">
        <x:v>None known</x:v>
      </x:c>
      <x:c r="AC311" s="9" t="str">
        <x:v>About 40 min of new full animation with branching alternate scenes</x:v>
      </x:c>
      <x:c r="AD311" s="9" t="str">
        <x:v>Moderate</x:v>
      </x:c>
      <x:c r="AE311" s="9" t="str">
        <x:v>Branching alternate scenes (verify how many endings)</x:v>
      </x:c>
      <x:c r="AF311" s="9" t="str">
        <x:v>The Deluxe Pack came with a 40-minute VHS of the game's animated cutscenes.</x:v>
      </x:c>
      <x:c r="AG311" s="9" t="str">
        <x:v>SLPS-02761~3; Deluxe Pack with VHS</x:v>
      </x:c>
      <x:c r="AH311" s="9" t="str">
        <x:v>No</x:v>
      </x:c>
      <x:c r="AI311" s="9" t="str">
        <x:v>Import</x:v>
      </x:c>
      <x:c r="AJ311" s="9"/>
      <x:c r="AK311" s="9" t="str">
        <x:v>JP only. May 2000.</x:v>
      </x:c>
      <x:c r="AL311" s="10"/>
      <x:c r="AM311" s="10"/>
      <x:c r="AN311" s="10"/>
      <x:c r="AO311" s="9"/>
      <x:c r="AP311" s="11" t="str">
        <x:f>HYPERLINK("https://www.pricecharting.com/search-products?q=Saraba+Uchuu+Senkan+Yamato%3A+Ai+no+Senshitachi+playstation&amp;type=prices","PriceCharting")</x:f>
        <x:v>PriceCharting</x:v>
      </x:c>
      <x:c r="AQ311" s="9"/>
      <x:c r="AR311" s="9"/>
      <x:c r="AS311" s="9"/>
      <x:c r="AT311" s="9"/>
      <x:c r="AU311" s="9"/>
      <x:c r="AV311" s="9"/>
      <x:c r="AW311" s="9"/>
      <x:c r="AX311" s="9"/>
      <x:c r="AY311" s="9"/>
      <x:c r="AZ311" s="9"/>
      <x:c r="BA311" s="11" t="str">
        <x:f>HYPERLINK("https://www.mobygames.com/search/?q=Saraba+Uchuu+Senkan+Yamato%3A+Ai+no+Senshitachi","MobyGames")</x:f>
        <x:v>MobyGames</x:v>
      </x:c>
      <x:c r="BB311" s="9"/>
      <x:c r="BC311" s="9"/>
      <x:c r="BD311" s="9"/>
      <x:c r="BE311" s="9"/>
      <x:c r="BF311" s="11" t="str">
        <x:f>HYPERLINK("https://backloggd.com/search/games/Saraba%20Uchuu%20Senkan%20Yamato%3A%20Ai%20no%20Senshitachi/","Backloggd")</x:f>
        <x:v>Backloggd</x:v>
      </x:c>
      <x:c r="BG311" s="9"/>
      <x:c r="BH311" s="9"/>
      <x:c r="BI311" s="12" t="str">
        <x:v>No</x:v>
      </x:c>
      <x:c r="BJ311" s="12" t="str"/>
      <x:c r="BK311" s="12" t="str">
        <x:v>No</x:v>
      </x:c>
      <x:c r="BL311" s="12" t="str"/>
      <x:c r="BM311" s="12" t="str"/>
      <x:c r="BN311" s="12" t="str"/>
      <x:c r="BO311" s="12" t="str"/>
      <x:c r="BP311" s="12" t="str"/>
      <x:c r="BQ311" s="12" t="str"/>
    </x:row>
    <x:row r="312">
      <x:c r="A312" s="9" t="str">
        <x:v>ps1-99</x:v>
      </x:c>
      <x:c r="B312" s="9" t="str">
        <x:v>klaymen-klaymen</x:v>
      </x:c>
      <x:c r="C312" s="9" t="str">
        <x:v>PlayStation</x:v>
      </x:c>
      <x:c r="D312" s="9" t="str">
        <x:v>Klaymen Klaymen (The Neverhood)</x:v>
      </x:c>
      <x:c r="E312" s="9" t="str">
        <x:v>Klaymen Klaymen: Neverhood no Nazo (クレイマン・クレイマン) — The Neverhood</x:v>
      </x:c>
      <x:c r="F312" s="9" t="str">
        <x:v>The Neverhood, Inc. (PlayStation port by Riverhillsoft)</x:v>
      </x:c>
      <x:c r="G312" s="9" t="str">
        <x:v>Riverhillsoft (JP)</x:v>
      </x:c>
      <x:c r="H312" s="9" t="n">
        <x:v>1998</x:v>
      </x:c>
      <x:c r="I312" s="9" t="str">
        <x:v>No</x:v>
      </x:c>
      <x:c r="J312" s="9" t="str">
        <x:v>Yes</x:v>
      </x:c>
      <x:c r="K312" s="9" t="str">
        <x:v>No</x:v>
      </x:c>
      <x:c r="L312" s="9" t="str">
        <x:v>No</x:v>
      </x:c>
      <x:c r="M312" s="9" t="str">
        <x:v>Point-and-click adventure</x:v>
      </x:c>
      <x:c r="N312" s="9" t="str">
        <x:v>Animated</x:v>
      </x:c>
      <x:c r="O312" s="9" t="n">
        <x:v>5</x:v>
      </x:c>
      <x:c r="P312" s="9" t="str">
        <x:v>FMV adventure</x:v>
      </x:c>
      <x:c r="Q312" s="9" t="str">
        <x:v>Released</x:v>
      </x:c>
      <x:c r="R312" s="9" t="str">
        <x:v>PC original (The Neverhood, 1996, DreamWorks Interactive)</x:v>
      </x:c>
      <x:c r="S312" s="9" t="str">
        <x:v>Windows</x:v>
      </x:c>
      <x:c r="T312" s="9" t="str">
        <x:v>Doug TenNapel (creator); music by Terry Scott Taylor</x:v>
      </x:c>
      <x:c r="U312" s="9" t="n">
        <x:v>1</x:v>
      </x:c>
      <x:c r="V312" s="9" t="str">
        <x:v>Yes (verify)</x:v>
      </x:c>
      <x:c r="W312" s="9" t="str">
        <x:v>Memory card</x:v>
      </x:c>
      <x:c r="X312" s="9" t="str">
        <x:v>Low</x:v>
      </x:c>
      <x:c r="Y312" s="9" t="str"/>
      <x:c r="Z312" s="9" t="str">
        <x:v>4–6 hr</x:v>
      </x:c>
      <x:c r="AA312" s="9" t="str">
        <x:v>The only console version of the claymation cult classic, a Japan-only PS1 port.</x:v>
      </x:c>
      <x:c r="AB312" s="9" t="str">
        <x:v>None known</x:v>
      </x:c>
      <x:c r="AC312" s="9" t="str">
        <x:v>Streamed claymation movies for cutscenes and room transitions (PS1 quality verify)</x:v>
      </x:c>
      <x:c r="AD312" s="9" t="str">
        <x:v>Moderate puzzles, plus the infamous Hall of Records walk</x:v>
      </x:c>
      <x:c r="AE312" s="9" t="str">
        <x:v>Two endings</x:v>
      </x:c>
      <x:c r="AF312" s="9" t="str">
        <x:v>Every frame of The Neverhood was built and animated in clay; the PS1 port came out only in Japan.</x:v>
      </x:c>
      <x:c r="AG312" s="9" t="str"/>
      <x:c r="AH312" s="9" t="str">
        <x:v>No</x:v>
      </x:c>
      <x:c r="AI312" s="9" t="str">
        <x:v>Import</x:v>
      </x:c>
      <x:c r="AJ312" s="9"/>
      <x:c r="AK312" s="9" t="str">
        <x:v>JP only. Year and port credits from candidate notes/Wikipedia (verify).</x:v>
      </x:c>
      <x:c r="AL312" s="10" t="n">
        <x:v>27.71</x:v>
      </x:c>
      <x:c r="AM312" s="10" t="n">
        <x:v>31.75</x:v>
      </x:c>
      <x:c r="AN312" s="10" t="n">
        <x:v>83</x:v>
      </x:c>
      <x:c r="AO312" s="9" t="str">
        <x:v>2026-10-21</x:v>
      </x:c>
      <x:c r="AP312" s="11" t="str">
        <x:f>HYPERLINK("https://www.pricecharting.com/game/jp-playstation/klaymen-klaymen","PriceCharting")</x:f>
        <x:v>PriceCharting</x:v>
      </x:c>
      <x:c r="AQ312" s="9"/>
      <x:c r="AR312" s="9"/>
      <x:c r="AS312" s="9"/>
      <x:c r="AT312" s="9"/>
      <x:c r="AU312" s="9"/>
      <x:c r="AV312" s="9"/>
      <x:c r="AW312" s="9"/>
      <x:c r="AX312" s="9"/>
      <x:c r="AY312" s="9"/>
      <x:c r="AZ312" s="9"/>
      <x:c r="BA312" s="11" t="str">
        <x:f>HYPERLINK("https://www.mobygames.com/search/?q=Klaymen+Klaymen+%28The+Neverhood%29","MobyGames")</x:f>
        <x:v>MobyGames</x:v>
      </x:c>
      <x:c r="BB312" s="9" t="str">
        <x:v>65%</x:v>
      </x:c>
      <x:c r="BC312" s="9" t="str">
        <x:v>average of 2 reviews on Wikipedia (Dengeki PlayStation, Fam)</x:v>
      </x:c>
      <x:c r="BD312" s="9" t="str">
        <x:f>HYPERLINK("https://en.wikipedia.org/wiki/The_Neverhood","Source")</x:f>
        <x:v>Source</x:v>
      </x:c>
      <x:c r="BE312" s="11" t="str">
        <x:f>HYPERLINK("https://en.wikipedia.org/wiki/The_Neverhood","Wikipedia")</x:f>
        <x:v>Wikipedia</x:v>
      </x:c>
      <x:c r="BF312" s="11" t="str">
        <x:f>HYPERLINK("https://backloggd.com/search/games/Klaymen%20Klaymen%20%28The%20Neverhood%29/","Backloggd")</x:f>
        <x:v>Backloggd</x:v>
      </x:c>
      <x:c r="BG312" s="9"/>
      <x:c r="BH312" s="9"/>
      <x:c r="BI312" s="12" t="str">
        <x:v>No</x:v>
      </x:c>
      <x:c r="BJ312" s="12" t="str"/>
      <x:c r="BK312" s="12" t="str">
        <x:v>No</x:v>
      </x:c>
      <x:c r="BL312" s="12" t="str"/>
      <x:c r="BM312" s="12" t="str"/>
      <x:c r="BN312" s="12" t="str"/>
      <x:c r="BO312" s="12" t="str"/>
      <x:c r="BP312" s="12" t="str"/>
      <x:c r="BQ312" s="12" t="str"/>
    </x:row>
    <x:row r="313">
      <x:c r="A313" s="9" t="str">
        <x:v>ps1-100</x:v>
      </x:c>
      <x:c r="B313" s="9" t="str">
        <x:v>noel-not-digital</x:v>
      </x:c>
      <x:c r="C313" s="9" t="str">
        <x:v>PlayStation</x:v>
      </x:c>
      <x:c r="D313" s="9" t="str">
        <x:v>Noël: Not Digital</x:v>
      </x:c>
      <x:c r="E313" s="9" t="str">
        <x:v>NOëL NOT DIGITAL</x:v>
      </x:c>
      <x:c r="F313" s="9" t="str">
        <x:v>Pioneer LDC</x:v>
      </x:c>
      <x:c r="G313" s="9" t="str">
        <x:v>Pioneer LDC (JP)</x:v>
      </x:c>
      <x:c r="H313" s="9" t="n">
        <x:v>1996</x:v>
      </x:c>
      <x:c r="I313" s="9" t="str">
        <x:v>No</x:v>
      </x:c>
      <x:c r="J313" s="9" t="str">
        <x:v>Yes</x:v>
      </x:c>
      <x:c r="K313" s="9" t="str">
        <x:v>No</x:v>
      </x:c>
      <x:c r="L313" s="9" t="str">
        <x:v>No</x:v>
      </x:c>
      <x:c r="M313" s="9" t="str">
        <x:v>Visual-phone dating sim</x:v>
      </x:c>
      <x:c r="N313" s="9" t="str">
        <x:v>Animated</x:v>
      </x:c>
      <x:c r="O313" s="9" t="n">
        <x:v>5</x:v>
      </x:c>
      <x:c r="P313" s="9" t="str">
        <x:v>Interactive movie</x:v>
      </x:c>
      <x:c r="Q313" s="9" t="str">
        <x:v>Released</x:v>
      </x:c>
      <x:c r="R313" s="9" t="str">
        <x:v>Original production</x:v>
      </x:c>
      <x:c r="S313" s="9" t="str"/>
      <x:c r="T313" s="9" t="str">
        <x:v>—</x:v>
      </x:c>
      <x:c r="U313" s="9" t="n">
        <x:v>2</x:v>
      </x:c>
      <x:c r="V313" s="9" t="str">
        <x:v>Yes</x:v>
      </x:c>
      <x:c r="W313" s="9" t="str">
        <x:v>Memory card</x:v>
      </x:c>
      <x:c r="X313" s="9" t="str">
        <x:v>Low</x:v>
      </x:c>
      <x:c r="Y313" s="9" t="str"/>
      <x:c r="Z313" s="9" t="str">
        <x:v>Unknown — verify</x:v>
      </x:c>
      <x:c r="AA313" s="9" t="str">
        <x:v>You talk with anime girls through a 'visual phone' video-call screen, an odd predecessor to video chat sims.</x:v>
      </x:c>
      <x:c r="AB313" s="9" t="str">
        <x:v>None known</x:v>
      </x:c>
      <x:c r="AC313" s="9" t="str">
        <x:v>Animated video-call window (size verify)</x:v>
      </x:c>
      <x:c r="AD313" s="9" t="str">
        <x:v>Unknown — verify</x:v>
      </x:c>
      <x:c r="AE313" s="9" t="str">
        <x:v>Unknown — verify</x:v>
      </x:c>
      <x:c r="AF313" s="9" t="str"/>
      <x:c r="AG313" s="9" t="str">
        <x:v>SLPS-00316; PlayStation the Best SLPS-91043</x:v>
      </x:c>
      <x:c r="AH313" s="9" t="str">
        <x:v>No</x:v>
      </x:c>
      <x:c r="AI313" s="9" t="str">
        <x:v>Import</x:v>
      </x:c>
      <x:c r="AJ313" s="9"/>
      <x:c r="AK313" s="9" t="str">
        <x:v>JP only. FMV share and disc count unverified.</x:v>
      </x:c>
      <x:c r="AL313" s="10" t="n">
        <x:v>14.99</x:v>
      </x:c>
      <x:c r="AM313" s="10" t="n">
        <x:v>20.78</x:v>
      </x:c>
      <x:c r="AN313" s="10" t="n">
        <x:v>54</x:v>
      </x:c>
      <x:c r="AO313" s="9" t="str">
        <x:v>2026-10-21</x:v>
      </x:c>
      <x:c r="AP313" s="11" t="str">
        <x:f>HYPERLINK("https://www.pricecharting.com/game/jp-playstation/noel-not-digital","PriceCharting")</x:f>
        <x:v>PriceCharting</x:v>
      </x:c>
      <x:c r="AQ313" s="9"/>
      <x:c r="AR313" s="9"/>
      <x:c r="AS313" s="9"/>
      <x:c r="AT313" s="9"/>
      <x:c r="AU313" s="9"/>
      <x:c r="AV313" s="9"/>
      <x:c r="AW313" s="9"/>
      <x:c r="AX313" s="9"/>
      <x:c r="AY313" s="9"/>
      <x:c r="AZ313" s="9"/>
      <x:c r="BA313" s="11" t="str">
        <x:f>HYPERLINK("https://www.mobygames.com/search/?q=No%C3%ABl%3A+Not+Digital","MobyGames")</x:f>
        <x:v>MobyGames</x:v>
      </x:c>
      <x:c r="BB313" s="9"/>
      <x:c r="BC313" s="9"/>
      <x:c r="BD313" s="9"/>
      <x:c r="BE313" s="9"/>
      <x:c r="BF313" s="11" t="str">
        <x:f>HYPERLINK("https://backloggd.com/search/games/No%C3%ABl%3A%20Not%20Digital/","Backloggd")</x:f>
        <x:v>Backloggd</x:v>
      </x:c>
      <x:c r="BG313" s="9"/>
      <x:c r="BH313" s="9"/>
      <x:c r="BI313" s="12" t="str">
        <x:v>No</x:v>
      </x:c>
      <x:c r="BJ313" s="12" t="str"/>
      <x:c r="BK313" s="12" t="str">
        <x:v>No</x:v>
      </x:c>
      <x:c r="BL313" s="12" t="str"/>
      <x:c r="BM313" s="12" t="str"/>
      <x:c r="BN313" s="12" t="str"/>
      <x:c r="BO313" s="12" t="str"/>
      <x:c r="BP313" s="12" t="str"/>
      <x:c r="BQ313" s="12" t="str"/>
    </x:row>
    <x:row r="314">
      <x:c r="A314" s="9" t="str">
        <x:v>ps1-101</x:v>
      </x:c>
      <x:c r="B314" s="9" t="str">
        <x:v>noel-la-neige</x:v>
      </x:c>
      <x:c r="C314" s="9" t="str">
        <x:v>PlayStation</x:v>
      </x:c>
      <x:c r="D314" s="9" t="str">
        <x:v>Noël: La Neige</x:v>
      </x:c>
      <x:c r="E314" s="9" t="str">
        <x:v>NOëL ~La Neige~</x:v>
      </x:c>
      <x:c r="F314" s="9" t="str">
        <x:v>Pioneer LDC</x:v>
      </x:c>
      <x:c r="G314" s="9" t="str">
        <x:v>Pioneer LDC (JP)</x:v>
      </x:c>
      <x:c r="H314" s="9" t="n">
        <x:v>1998</x:v>
      </x:c>
      <x:c r="I314" s="9" t="str">
        <x:v>No</x:v>
      </x:c>
      <x:c r="J314" s="9" t="str">
        <x:v>Yes</x:v>
      </x:c>
      <x:c r="K314" s="9" t="str">
        <x:v>No</x:v>
      </x:c>
      <x:c r="L314" s="9" t="str">
        <x:v>No</x:v>
      </x:c>
      <x:c r="M314" s="9" t="str">
        <x:v>Visual-phone dating sim</x:v>
      </x:c>
      <x:c r="N314" s="9" t="str">
        <x:v>Animated</x:v>
      </x:c>
      <x:c r="O314" s="9" t="n">
        <x:v>5</x:v>
      </x:c>
      <x:c r="P314" s="9" t="str">
        <x:v>Interactive movie</x:v>
      </x:c>
      <x:c r="Q314" s="9" t="str">
        <x:v>Released</x:v>
      </x:c>
      <x:c r="R314" s="9" t="str">
        <x:v>Original production</x:v>
      </x:c>
      <x:c r="S314" s="9" t="str"/>
      <x:c r="T314" s="9" t="str">
        <x:v>—</x:v>
      </x:c>
      <x:c r="U314" s="9" t="n">
        <x:v>3</x:v>
      </x:c>
      <x:c r="V314" s="9" t="str">
        <x:v>Yes</x:v>
      </x:c>
      <x:c r="W314" s="9" t="str">
        <x:v>Memory card</x:v>
      </x:c>
      <x:c r="X314" s="9" t="str">
        <x:v>Low</x:v>
      </x:c>
      <x:c r="Y314" s="9" t="str"/>
      <x:c r="Z314" s="9" t="str">
        <x:v>Unknown — verify</x:v>
      </x:c>
      <x:c r="AA314" s="9" t="str">
        <x:v>Snowbound sequel to Noël's video-phone romance, again played through animated video calls.</x:v>
      </x:c>
      <x:c r="AB314" s="9" t="str">
        <x:v>None known</x:v>
      </x:c>
      <x:c r="AC314" s="9" t="str">
        <x:v>Animated video-call window (verify)</x:v>
      </x:c>
      <x:c r="AD314" s="9" t="str">
        <x:v>Unknown — verify</x:v>
      </x:c>
      <x:c r="AE314" s="9" t="str">
        <x:v>Unknown — verify</x:v>
      </x:c>
      <x:c r="AF314" s="9" t="str"/>
      <x:c r="AG314" s="9" t="str">
        <x:v>Special Edition SLPS-01190-2 (adds a drama CD); regular edition SLPS-01193-5</x:v>
      </x:c>
      <x:c r="AH314" s="9" t="str">
        <x:v>No</x:v>
      </x:c>
      <x:c r="AI314" s="9" t="str">
        <x:v>Import</x:v>
      </x:c>
      <x:c r="AJ314" s="9"/>
      <x:c r="AK314" s="9" t="str">
        <x:v>JP only. Year and FMV share unverified (verify).</x:v>
      </x:c>
      <x:c r="AL314" s="10"/>
      <x:c r="AM314" s="10"/>
      <x:c r="AN314" s="10"/>
      <x:c r="AO314" s="9"/>
      <x:c r="AP314" s="11" t="str">
        <x:f>HYPERLINK("https://www.pricecharting.com/search-products?q=No%C3%ABl%3A+La+Neige+playstation&amp;type=prices","PriceCharting")</x:f>
        <x:v>PriceCharting</x:v>
      </x:c>
      <x:c r="AQ314" s="9"/>
      <x:c r="AR314" s="9"/>
      <x:c r="AS314" s="9"/>
      <x:c r="AT314" s="9"/>
      <x:c r="AU314" s="9"/>
      <x:c r="AV314" s="9"/>
      <x:c r="AW314" s="9"/>
      <x:c r="AX314" s="9"/>
      <x:c r="AY314" s="9"/>
      <x:c r="AZ314" s="9"/>
      <x:c r="BA314" s="11" t="str">
        <x:f>HYPERLINK("https://www.mobygames.com/search/?q=No%C3%ABl%3A+La+Neige","MobyGames")</x:f>
        <x:v>MobyGames</x:v>
      </x:c>
      <x:c r="BB314" s="9"/>
      <x:c r="BC314" s="9"/>
      <x:c r="BD314" s="9"/>
      <x:c r="BE314" s="9"/>
      <x:c r="BF314" s="11" t="str">
        <x:f>HYPERLINK("https://backloggd.com/search/games/No%C3%ABl%3A%20La%20Neige/","Backloggd")</x:f>
        <x:v>Backloggd</x:v>
      </x:c>
      <x:c r="BG314" s="9"/>
      <x:c r="BH314" s="9"/>
      <x:c r="BI314" s="12" t="str">
        <x:v>No</x:v>
      </x:c>
      <x:c r="BJ314" s="12" t="str"/>
      <x:c r="BK314" s="12" t="str">
        <x:v>No</x:v>
      </x:c>
      <x:c r="BL314" s="12" t="str"/>
      <x:c r="BM314" s="12" t="str"/>
      <x:c r="BN314" s="12" t="str"/>
      <x:c r="BO314" s="12" t="str"/>
      <x:c r="BP314" s="12" t="str"/>
      <x:c r="BQ314" s="12" t="str"/>
    </x:row>
    <x:row r="315">
      <x:c r="A315" s="9" t="str">
        <x:v>ps1-102</x:v>
      </x:c>
      <x:c r="B315" s="9" t="str">
        <x:v>noel-3-mission-on-the-line</x:v>
      </x:c>
      <x:c r="C315" s="9" t="str">
        <x:v>PlayStation</x:v>
      </x:c>
      <x:c r="D315" s="9" t="str">
        <x:v>Noël 3: Mission on the Line</x:v>
      </x:c>
      <x:c r="E315" s="9" t="str">
        <x:v>NOëL 3 Mission on the Line</x:v>
      </x:c>
      <x:c r="F315" s="9" t="str">
        <x:v>Flight-Plan (published by Pioneer LDC)</x:v>
      </x:c>
      <x:c r="G315" s="9" t="str">
        <x:v>Pioneer LDC (JP)</x:v>
      </x:c>
      <x:c r="H315" s="9" t="n">
        <x:v>1999</x:v>
      </x:c>
      <x:c r="I315" s="9" t="str">
        <x:v>No</x:v>
      </x:c>
      <x:c r="J315" s="9" t="str">
        <x:v>Yes</x:v>
      </x:c>
      <x:c r="K315" s="9" t="str">
        <x:v>No</x:v>
      </x:c>
      <x:c r="L315" s="9" t="str">
        <x:v>No</x:v>
      </x:c>
      <x:c r="M315" s="9" t="str">
        <x:v>Visual-phone adventure</x:v>
      </x:c>
      <x:c r="N315" s="9" t="str">
        <x:v>Animated</x:v>
      </x:c>
      <x:c r="O315" s="9" t="n">
        <x:v>5</x:v>
      </x:c>
      <x:c r="P315" s="9" t="str">
        <x:v>Interactive movie</x:v>
      </x:c>
      <x:c r="Q315" s="9" t="str">
        <x:v>Released</x:v>
      </x:c>
      <x:c r="R315" s="9" t="str">
        <x:v>Original production</x:v>
      </x:c>
      <x:c r="S315" s="9" t="str"/>
      <x:c r="T315" s="9" t="str">
        <x:v>—</x:v>
      </x:c>
      <x:c r="U315" s="9" t="n">
        <x:v>3</x:v>
      </x:c>
      <x:c r="V315" s="9" t="str">
        <x:v>Yes</x:v>
      </x:c>
      <x:c r="W315" s="9" t="str">
        <x:v>Memory card</x:v>
      </x:c>
      <x:c r="X315" s="9" t="str">
        <x:v>Low</x:v>
      </x:c>
      <x:c r="Y315" s="9" t="str"/>
      <x:c r="Z315" s="9" t="str">
        <x:v>Unknown — verify</x:v>
      </x:c>
      <x:c r="AA315" s="9" t="str">
        <x:v>The third Noël video-phone game turns the calls into a mission over the line.</x:v>
      </x:c>
      <x:c r="AB315" s="9" t="str">
        <x:v>None known</x:v>
      </x:c>
      <x:c r="AC315" s="9" t="str">
        <x:v>Animated video-call window (verify)</x:v>
      </x:c>
      <x:c r="AD315" s="9" t="str">
        <x:v>Unknown — verify</x:v>
      </x:c>
      <x:c r="AE315" s="9" t="str">
        <x:v>Unknown — verify</x:v>
      </x:c>
      <x:c r="AF315" s="9" t="str"/>
      <x:c r="AG315" s="9" t="str">
        <x:v>SLPS-01895; Major Wave reissue SLPM-86609</x:v>
      </x:c>
      <x:c r="AH315" s="9" t="str">
        <x:v>No</x:v>
      </x:c>
      <x:c r="AI315" s="9" t="str">
        <x:v>Import</x:v>
      </x:c>
      <x:c r="AJ315" s="9"/>
      <x:c r="AK315" s="9" t="str">
        <x:v>JP only. Year and FMV share unverified.</x:v>
      </x:c>
      <x:c r="AL315" s="10" t="n">
        <x:v>10.49</x:v>
      </x:c>
      <x:c r="AM315" s="10" t="n">
        <x:v>11.87</x:v>
      </x:c>
      <x:c r="AN315" s="10" t="n">
        <x:v>31</x:v>
      </x:c>
      <x:c r="AO315" s="9" t="str">
        <x:v>2026-10-21</x:v>
      </x:c>
      <x:c r="AP315" s="11" t="str">
        <x:f>HYPERLINK("https://www.pricecharting.com/game/jp-playstation/noel-3-mission-on-the-line","PriceCharting")</x:f>
        <x:v>PriceCharting</x:v>
      </x:c>
      <x:c r="AQ315" s="9"/>
      <x:c r="AR315" s="9"/>
      <x:c r="AS315" s="9"/>
      <x:c r="AT315" s="9"/>
      <x:c r="AU315" s="9"/>
      <x:c r="AV315" s="9"/>
      <x:c r="AW315" s="9"/>
      <x:c r="AX315" s="9"/>
      <x:c r="AY315" s="9"/>
      <x:c r="AZ315" s="9"/>
      <x:c r="BA315" s="11" t="str">
        <x:f>HYPERLINK("https://www.mobygames.com/search/?q=No%C3%ABl+3%3A+Mission+on+the+Line","MobyGames")</x:f>
        <x:v>MobyGames</x:v>
      </x:c>
      <x:c r="BB315" s="9"/>
      <x:c r="BC315" s="9"/>
      <x:c r="BD315" s="9"/>
      <x:c r="BE315" s="9"/>
      <x:c r="BF315" s="11" t="str">
        <x:f>HYPERLINK("https://backloggd.com/search/games/No%C3%ABl%203%3A%20Mission%20on%20the%20Line/","Backloggd")</x:f>
        <x:v>Backloggd</x:v>
      </x:c>
      <x:c r="BG315" s="9"/>
      <x:c r="BH315" s="9"/>
      <x:c r="BI315" s="12" t="str">
        <x:v>No</x:v>
      </x:c>
      <x:c r="BJ315" s="12" t="str"/>
      <x:c r="BK315" s="12" t="str">
        <x:v>No</x:v>
      </x:c>
      <x:c r="BL315" s="12" t="str"/>
      <x:c r="BM315" s="12" t="str"/>
      <x:c r="BN315" s="12" t="str"/>
      <x:c r="BO315" s="12" t="str"/>
      <x:c r="BP315" s="12" t="str"/>
      <x:c r="BQ315" s="12" t="str"/>
    </x:row>
    <x:row r="316">
      <x:c r="A316" s="9" t="str">
        <x:v>ps1-103</x:v>
      </x:c>
      <x:c r="B316" s="9" t="str">
        <x:v>skullmonkeys</x:v>
      </x:c>
      <x:c r="C316" s="9" t="str">
        <x:v>PlayStation</x:v>
      </x:c>
      <x:c r="D316" s="9" t="str">
        <x:v>Skullmonkeys</x:v>
      </x:c>
      <x:c r="E316" s="9" t="str">
        <x:v>Klaymen Klaymen 2: Skullmonkey no Gyakushuu (JP)</x:v>
      </x:c>
      <x:c r="F316" s="9" t="str">
        <x:v>The Neverhood, Inc.</x:v>
      </x:c>
      <x:c r="G316" s="9" t="str">
        <x:v>Electronic Arts / DreamWorks Interactive (NA, EU); Riverhillsoft (JP)</x:v>
      </x:c>
      <x:c r="H316" s="9" t="n">
        <x:v>1998</x:v>
      </x:c>
      <x:c r="I316" s="9" t="str">
        <x:v>Yes</x:v>
      </x:c>
      <x:c r="J316" s="9" t="str">
        <x:v>Yes</x:v>
      </x:c>
      <x:c r="K316" s="9" t="str">
        <x:v>Yes</x:v>
      </x:c>
      <x:c r="L316" s="9" t="str">
        <x:v>No</x:v>
      </x:c>
      <x:c r="M316" s="9" t="str">
        <x:v>2D platformer</x:v>
      </x:c>
      <x:c r="N316" s="9" t="str">
        <x:v>Animated</x:v>
      </x:c>
      <x:c r="O316" s="9" t="n">
        <x:v>3</x:v>
      </x:c>
      <x:c r="P316" s="9" t="str">
        <x:v>Cutscenes only</x:v>
      </x:c>
      <x:c r="Q316" s="9" t="str">
        <x:v>Released</x:v>
      </x:c>
      <x:c r="R316" s="9" t="str">
        <x:v>Original production (sequel to The Neverhood)</x:v>
      </x:c>
      <x:c r="S316" s="9" t="str"/>
      <x:c r="T316" s="9" t="str">
        <x:v>Doug TenNapel (creator); music by Terry Scott Taylor</x:v>
      </x:c>
      <x:c r="U316" s="9" t="n">
        <x:v>1</x:v>
      </x:c>
      <x:c r="V316" s="9" t="str">
        <x:v>No (passwords)</x:v>
      </x:c>
      <x:c r="W316" s="9" t="str">
        <x:v>None</x:v>
      </x:c>
      <x:c r="X316" s="9" t="str">
        <x:v>Low</x:v>
      </x:c>
      <x:c r="Y316" s="9" t="str"/>
      <x:c r="Z316" s="9" t="str">
        <x:v>5–8 hr</x:v>
      </x:c>
      <x:c r="AA316" s="9" t="str">
        <x:v>Long, absurd claymation cutscenes bookend a hard platformer from the Neverhood team.</x:v>
      </x:c>
      <x:c r="AB316" s="9" t="str">
        <x:v>Password system; level-select passwords exist (verify inputs)</x:v>
      </x:c>
      <x:c r="AC316" s="9" t="str">
        <x:v>Full-screen claymation FMV cutscenes</x:v>
      </x:c>
      <x:c r="AD316" s="9" t="str">
        <x:v>High; many levels, unforgiving jumps</x:v>
      </x:c>
      <x:c r="AE316" s="9" t="str">
        <x:v>Single ending</x:v>
      </x:c>
      <x:c r="AF316" s="9" t="str">
        <x:v>Every character and level was sculpted in clay and photographed; the 'Evil Engine #9' cutscenes are fan favourites.</x:v>
      </x:c>
      <x:c r="AG316" s="9" t="str"/>
      <x:c r="AH316" s="9" t="str">
        <x:v>No</x:v>
      </x:c>
      <x:c r="AI316" s="9" t="str">
        <x:v>Easy</x:v>
      </x:c>
      <x:c r="AJ316" s="9"/>
      <x:c r="AK316" s="9" t="str">
        <x:v>Notable cutscene title.</x:v>
      </x:c>
      <x:c r="AL316" s="10" t="n">
        <x:v>65.85</x:v>
      </x:c>
      <x:c r="AM316" s="10" t="n">
        <x:v>104.99</x:v>
      </x:c>
      <x:c r="AN316" s="10" t="n">
        <x:v>243.13</x:v>
      </x:c>
      <x:c r="AO316" s="9" t="str">
        <x:v>2026-10-21</x:v>
      </x:c>
      <x:c r="AP316" s="11" t="str">
        <x:f>HYPERLINK("https://www.pricecharting.com/game/playstation/skullmonkeys","PriceCharting")</x:f>
        <x:v>PriceCharting</x:v>
      </x:c>
      <x:c r="AQ316" s="9"/>
      <x:c r="AR316" s="9"/>
      <x:c r="AS316" s="9"/>
      <x:c r="AT316" s="9"/>
      <x:c r="AU316" s="9"/>
      <x:c r="AV316" s="9"/>
      <x:c r="AW316" s="9"/>
      <x:c r="AX316" s="9"/>
      <x:c r="AY316" s="9" t="str">
        <x:v>77%</x:v>
      </x:c>
      <x:c r="AZ316" s="9" t="str">
        <x:v>4.0</x:v>
      </x:c>
      <x:c r="BA316" s="11" t="str">
        <x:f>HYPERLINK("https://www.mobygames.com/search/?q=Skullmonkeys","MobyGames")</x:f>
        <x:v>MobyGames</x:v>
      </x:c>
      <x:c r="BB316" s="9" t="str">
        <x:v>80%</x:v>
      </x:c>
      <x:c r="BC316" s="9" t="str">
        <x:v>GameRankings, 6 reviews</x:v>
      </x:c>
      <x:c r="BD316" s="9" t="str">
        <x:f>HYPERLINK("https://web.archive.org/web/20191209015341id_/https://www.gamerankings.com/ps/198663-skullmonkeys/","Source")</x:f>
        <x:v>Source</x:v>
      </x:c>
      <x:c r="BE316" s="11" t="str">
        <x:f>HYPERLINK("https://en.wikipedia.org/wiki/Skullmonkeys","Wikipedia")</x:f>
        <x:v>Wikipedia</x:v>
      </x:c>
      <x:c r="BF316" s="11" t="str">
        <x:f>HYPERLINK("https://backloggd.com/search/games/Skullmonkeys/","Backloggd")</x:f>
        <x:v>Backloggd</x:v>
      </x:c>
      <x:c r="BG316" s="9"/>
      <x:c r="BH316" s="9"/>
      <x:c r="BI316" s="12" t="str">
        <x:v>No</x:v>
      </x:c>
      <x:c r="BJ316" s="12" t="str"/>
      <x:c r="BK316" s="12" t="str">
        <x:v>No</x:v>
      </x:c>
      <x:c r="BL316" s="12" t="str"/>
      <x:c r="BM316" s="12" t="str"/>
      <x:c r="BN316" s="12" t="str"/>
      <x:c r="BO316" s="12" t="str"/>
      <x:c r="BP316" s="12" t="str"/>
      <x:c r="BQ316" s="12" t="str"/>
    </x:row>
    <x:row r="317">
      <x:c r="A317" s="9" t="str">
        <x:v>ps1-104</x:v>
      </x:c>
      <x:c r="B317" s="9" t="str">
        <x:v>warhawk</x:v>
      </x:c>
      <x:c r="C317" s="9" t="str">
        <x:v>PlayStation</x:v>
      </x:c>
      <x:c r="D317" s="9" t="str">
        <x:v>Warhawk</x:v>
      </x:c>
      <x:c r="E317" s="9" t="str"/>
      <x:c r="F317" s="9" t="str">
        <x:v>SingleTrac</x:v>
      </x:c>
      <x:c r="G317" s="9" t="str">
        <x:v>Sony Computer Entertainment</x:v>
      </x:c>
      <x:c r="H317" s="9" t="n">
        <x:v>1995</x:v>
      </x:c>
      <x:c r="I317" s="9" t="str">
        <x:v>Yes</x:v>
      </x:c>
      <x:c r="J317" s="9" t="str">
        <x:v>Yes</x:v>
      </x:c>
      <x:c r="K317" s="9" t="str">
        <x:v>Yes</x:v>
      </x:c>
      <x:c r="L317" s="9" t="str">
        <x:v>No</x:v>
      </x:c>
      <x:c r="M317" s="9" t="str">
        <x:v>Flight action shooter</x:v>
      </x:c>
      <x:c r="N317" s="9" t="str">
        <x:v>Live-action + CG</x:v>
      </x:c>
      <x:c r="O317" s="9" t="n">
        <x:v>3</x:v>
      </x:c>
      <x:c r="P317" s="9" t="str">
        <x:v>Cutscenes only</x:v>
      </x:c>
      <x:c r="Q317" s="9" t="str">
        <x:v>Released</x:v>
      </x:c>
      <x:c r="R317" s="9" t="str">
        <x:v>Original production</x:v>
      </x:c>
      <x:c r="S317" s="9" t="str"/>
      <x:c r="T317" s="9" t="str">
        <x:v>Unknown — verify</x:v>
      </x:c>
      <x:c r="U317" s="9" t="n">
        <x:v>1</x:v>
      </x:c>
      <x:c r="V317" s="9" t="str">
        <x:v>No (passwords) (verify)</x:v>
      </x:c>
      <x:c r="W317" s="9" t="str">
        <x:v>None</x:v>
      </x:c>
      <x:c r="X317" s="9" t="str">
        <x:v>Low</x:v>
      </x:c>
      <x:c r="Y317" s="9" t="str"/>
      <x:c r="Z317" s="9" t="str">
        <x:v>3–4 hr</x:v>
      </x:c>
      <x:c r="AA317" s="9" t="str">
        <x:v>An early PS1 showcase whose mission briefings and story are told with live-action FMV actors.</x:v>
      </x:c>
      <x:c r="AB317" s="9" t="str">
        <x:v>None known</x:v>
      </x:c>
      <x:c r="AC317" s="9" t="str">
        <x:v>Full-screen live-action/CG briefings (verify)</x:v>
      </x:c>
      <x:c r="AD317" s="9" t="str">
        <x:v>Moderate to high</x:v>
      </x:c>
      <x:c r="AE317" s="9" t="str">
        <x:v>Single (verify)</x:v>
      </x:c>
      <x:c r="AF317" s="9" t="str">
        <x:v>Developed by SingleTrac, later of Twisted Metal; rebooted on PS3 in 2007.</x:v>
      </x:c>
      <x:c r="AG317" s="9" t="str"/>
      <x:c r="AH317" s="9" t="str">
        <x:v>No</x:v>
      </x:c>
      <x:c r="AI317" s="9" t="str">
        <x:v>Easy</x:v>
      </x:c>
      <x:c r="AJ317" s="9"/>
      <x:c r="AK317" s="9" t="str">
        <x:v>Notable live-action cutscene title (verify cast).</x:v>
      </x:c>
      <x:c r="AL317" s="10" t="n">
        <x:v>10.59</x:v>
      </x:c>
      <x:c r="AM317" s="10" t="n">
        <x:v>22.69</x:v>
      </x:c>
      <x:c r="AN317" s="10" t="n">
        <x:v>59</x:v>
      </x:c>
      <x:c r="AO317" s="9" t="str">
        <x:v>2026-10-21</x:v>
      </x:c>
      <x:c r="AP317" s="11" t="str">
        <x:f>HYPERLINK("https://www.pricecharting.com/game/playstation/warhawk","PriceCharting")</x:f>
        <x:v>PriceCharting</x:v>
      </x:c>
      <x:c r="AQ317" s="9"/>
      <x:c r="AR317" s="9"/>
      <x:c r="AS317" s="9"/>
      <x:c r="AT317" s="9"/>
      <x:c r="AU317" s="9"/>
      <x:c r="AV317" s="9"/>
      <x:c r="AW317" s="9"/>
      <x:c r="AX317" s="9"/>
      <x:c r="AY317" s="9" t="str">
        <x:v>88%</x:v>
      </x:c>
      <x:c r="AZ317" s="9" t="str">
        <x:v>4.0</x:v>
      </x:c>
      <x:c r="BA317" s="11" t="str">
        <x:f>HYPERLINK("https://www.mobygames.com/search/?q=Warhawk","MobyGames")</x:f>
        <x:v>MobyGames</x:v>
      </x:c>
      <x:c r="BB317" s="9" t="str">
        <x:v>82%</x:v>
      </x:c>
      <x:c r="BC317" s="9" t="str">
        <x:v>average of 5 reviews on Wikipedia (EGM, Edge, Electric Playground, NGen, Play)</x:v>
      </x:c>
      <x:c r="BD317" s="9" t="str">
        <x:f>HYPERLINK("https://en.wikipedia.org/wiki/Warhawk_%281995_video_game%29","Source")</x:f>
        <x:v>Source</x:v>
      </x:c>
      <x:c r="BE317" s="11" t="str">
        <x:f>HYPERLINK("https://en.wikipedia.org/wiki/Warhawk_(1995_video_game)","Wikipedia")</x:f>
        <x:v>Wikipedia</x:v>
      </x:c>
      <x:c r="BF317" s="11" t="str">
        <x:f>HYPERLINK("https://backloggd.com/search/games/Warhawk/","Backloggd")</x:f>
        <x:v>Backloggd</x:v>
      </x:c>
      <x:c r="BG317" s="9"/>
      <x:c r="BH317" s="9"/>
      <x:c r="BI317" s="12" t="str">
        <x:v>No</x:v>
      </x:c>
      <x:c r="BJ317" s="12" t="str"/>
      <x:c r="BK317" s="12" t="str">
        <x:v>No</x:v>
      </x:c>
      <x:c r="BL317" s="12" t="str"/>
      <x:c r="BM317" s="12" t="str"/>
      <x:c r="BN317" s="12" t="str"/>
      <x:c r="BO317" s="12" t="str"/>
      <x:c r="BP317" s="12" t="str"/>
      <x:c r="BQ317" s="12" t="str"/>
    </x:row>
    <x:row r="318">
      <x:c r="A318" s="9" t="str">
        <x:v>ps1-105</x:v>
      </x:c>
      <x:c r="B318" s="9" t="str">
        <x:v>pepsiman</x:v>
      </x:c>
      <x:c r="C318" s="9" t="str">
        <x:v>PlayStation</x:v>
      </x:c>
      <x:c r="D318" s="9" t="str">
        <x:v>Pepsiman</x:v>
      </x:c>
      <x:c r="E318" s="9" t="str">
        <x:v>ペプシマン</x:v>
      </x:c>
      <x:c r="F318" s="9" t="str">
        <x:v>KID</x:v>
      </x:c>
      <x:c r="G318" s="9" t="str">
        <x:v>KID (JP)</x:v>
      </x:c>
      <x:c r="H318" s="9" t="n">
        <x:v>1999</x:v>
      </x:c>
      <x:c r="I318" s="9" t="str">
        <x:v>No</x:v>
      </x:c>
      <x:c r="J318" s="9" t="str">
        <x:v>Yes</x:v>
      </x:c>
      <x:c r="K318" s="9" t="str">
        <x:v>No</x:v>
      </x:c>
      <x:c r="L318" s="9" t="str">
        <x:v>No</x:v>
      </x:c>
      <x:c r="M318" s="9" t="str">
        <x:v>Runner / action</x:v>
      </x:c>
      <x:c r="N318" s="9" t="str">
        <x:v>Live-action</x:v>
      </x:c>
      <x:c r="O318" s="9" t="n">
        <x:v>2</x:v>
      </x:c>
      <x:c r="P318" s="9" t="str">
        <x:v>Cutscenes only</x:v>
      </x:c>
      <x:c r="Q318" s="9" t="str">
        <x:v>Released</x:v>
      </x:c>
      <x:c r="R318" s="9" t="str">
        <x:v>Original production</x:v>
      </x:c>
      <x:c r="S318" s="9" t="str"/>
      <x:c r="T318" s="9" t="str">
        <x:v>Unidentified American actor in the snack interstitials (verify)</x:v>
      </x:c>
      <x:c r="U318" s="9" t="n">
        <x:v>1</x:v>
      </x:c>
      <x:c r="V318" s="9" t="str">
        <x:v>Yes (memory card, 1 block)</x:v>
      </x:c>
      <x:c r="W318" s="9" t="str">
        <x:v>None</x:v>
      </x:c>
      <x:c r="X318" s="9" t="str">
        <x:v>Med</x:v>
      </x:c>
      <x:c r="Y318" s="9" t="str">
        <x:v>Pepsi branding/advertising</x:v>
      </x:c>
      <x:c r="Z318" s="9" t="str">
        <x:v>1 hr</x:v>
      </x:c>
      <x:c r="AA318" s="9" t="str">
        <x:v>Between stages a man in an American living room drinks Pepsi and eats chips in grainy live-action clips, cult internet fame.</x:v>
      </x:c>
      <x:c r="AB318" s="9" t="str">
        <x:v>None known</x:v>
      </x:c>
      <x:c r="AC318" s="9" t="str">
        <x:v>Short live-action interstitials between stages</x:v>
      </x:c>
      <x:c r="AD318" s="9" t="str">
        <x:v>Moderate; memorisation</x:v>
      </x:c>
      <x:c r="AE318" s="9" t="str">
        <x:v>Single</x:v>
      </x:c>
      <x:c r="AF318" s="9" t="str">
        <x:v>A licensed Pepsi game made in Japan; the live-action segments were shot in the US on a low budget (verify).</x:v>
      </x:c>
      <x:c r="AG318" s="9" t="str"/>
      <x:c r="AH318" s="9" t="str">
        <x:v>No</x:v>
      </x:c>
      <x:c r="AI318" s="9" t="str">
        <x:v>Expensive</x:v>
      </x:c>
      <x:c r="AJ318" s="9"/>
      <x:c r="AK318" s="9" t="str">
        <x:v>JP only. Notable for its live-action interstitials; core game is a 3D runner.</x:v>
      </x:c>
      <x:c r="AL318" s="10" t="n">
        <x:v>227.78</x:v>
      </x:c>
      <x:c r="AM318" s="10" t="n">
        <x:v>266.97</x:v>
      </x:c>
      <x:c r="AN318" s="10" t="n">
        <x:v>550.78</x:v>
      </x:c>
      <x:c r="AO318" s="9" t="str">
        <x:v>2026-10-21</x:v>
      </x:c>
      <x:c r="AP318" s="11" t="str">
        <x:f>HYPERLINK("https://www.pricecharting.com/game/jp-playstation/pepsiman","PriceCharting")</x:f>
        <x:v>PriceCharting</x:v>
      </x:c>
      <x:c r="AQ318" s="9"/>
      <x:c r="AR318" s="9"/>
      <x:c r="AS318" s="9"/>
      <x:c r="AT318" s="9"/>
      <x:c r="AU318" s="9"/>
      <x:c r="AV318" s="9"/>
      <x:c r="AW318" s="9"/>
      <x:c r="AX318" s="9"/>
      <x:c r="AY318" s="9"/>
      <x:c r="AZ318" s="9"/>
      <x:c r="BA318" s="11" t="str">
        <x:f>HYPERLINK("https://www.mobygames.com/search/?q=Pepsiman","MobyGames")</x:f>
        <x:v>MobyGames</x:v>
      </x:c>
      <x:c r="BB318" s="9" t="str">
        <x:v>70%</x:v>
      </x:c>
      <x:c r="BC318" s="9" t="str">
        <x:v>GameRankings, 1 review</x:v>
      </x:c>
      <x:c r="BD318" s="9" t="str">
        <x:f>HYPERLINK("https://web.archive.org/web/20191209012723id_/https://www.gamerankings.com/ps/575071-pepsiman/","Source")</x:f>
        <x:v>Source</x:v>
      </x:c>
      <x:c r="BE318" s="11" t="str">
        <x:f>HYPERLINK("https://en.wikipedia.org/wiki/Pepsiman_(video_game)","Wikipedia")</x:f>
        <x:v>Wikipedia</x:v>
      </x:c>
      <x:c r="BF318" s="11" t="str">
        <x:f>HYPERLINK("https://backloggd.com/search/games/Pepsiman/","Backloggd")</x:f>
        <x:v>Backloggd</x:v>
      </x:c>
      <x:c r="BG318" s="9"/>
      <x:c r="BH318" s="9"/>
      <x:c r="BI318" s="12" t="str">
        <x:v>No</x:v>
      </x:c>
      <x:c r="BJ318" s="12" t="str"/>
      <x:c r="BK318" s="12" t="str">
        <x:v>No</x:v>
      </x:c>
      <x:c r="BL318" s="12" t="str"/>
      <x:c r="BM318" s="12" t="str"/>
      <x:c r="BN318" s="12" t="str"/>
      <x:c r="BO318" s="12" t="str"/>
      <x:c r="BP318" s="12" t="str"/>
      <x:c r="BQ318" s="12" t="str"/>
    </x:row>
    <x:row r="319">
      <x:c r="A319" s="9" t="str">
        <x:v>ps1-106</x:v>
      </x:c>
      <x:c r="B319" s="9" t="str">
        <x:v>off-world-interceptor</x:v>
      </x:c>
      <x:c r="C319" s="9" t="str">
        <x:v>PlayStation</x:v>
      </x:c>
      <x:c r="D319" s="9" t="str">
        <x:v>Off-World Interceptor Extreme</x:v>
      </x:c>
      <x:c r="E319" s="9" t="str"/>
      <x:c r="F319" s="9" t="str">
        <x:v>Crystal Dynamics</x:v>
      </x:c>
      <x:c r="G319" s="9" t="str">
        <x:v>Crystal Dynamics (NA/EU); BMG Interactive (JP)</x:v>
      </x:c>
      <x:c r="H319" s="9" t="n">
        <x:v>1995</x:v>
      </x:c>
      <x:c r="I319" s="9" t="str">
        <x:v>Yes</x:v>
      </x:c>
      <x:c r="J319" s="9" t="str">
        <x:v>No</x:v>
      </x:c>
      <x:c r="K319" s="9" t="str">
        <x:v>Yes</x:v>
      </x:c>
      <x:c r="L319" s="9" t="str">
        <x:v>No</x:v>
      </x:c>
      <x:c r="M319" s="9" t="str">
        <x:v>Vehicular combat / racing shooter</x:v>
      </x:c>
      <x:c r="N319" s="9" t="str">
        <x:v>Live-action</x:v>
      </x:c>
      <x:c r="O319" s="9" t="n">
        <x:v>2</x:v>
      </x:c>
      <x:c r="P319" s="9" t="str">
        <x:v>Cutscenes only</x:v>
      </x:c>
      <x:c r="Q319" s="9" t="str">
        <x:v>Released</x:v>
      </x:c>
      <x:c r="R319" s="9" t="str">
        <x:v>Expanded port of Off-World Interceptor (3DO, 1994)</x:v>
      </x:c>
      <x:c r="S319" s="9" t="str">
        <x:v>3DO (as Off-World Interceptor), Sega Saturn</x:v>
      </x:c>
      <x:c r="T319" s="9" t="str">
        <x:v>Unknown — verify</x:v>
      </x:c>
      <x:c r="U319" s="9" t="n">
        <x:v>1</x:v>
      </x:c>
      <x:c r="V319" s="9" t="str">
        <x:v>Yes (memory card, 1 block)</x:v>
      </x:c>
      <x:c r="W319" s="9" t="str">
        <x:v>None</x:v>
      </x:c>
      <x:c r="X319" s="9" t="str">
        <x:v>Low</x:v>
      </x:c>
      <x:c r="Y319" s="9" t="str"/>
      <x:c r="Z319" s="9" t="str">
        <x:v>3–4 hr</x:v>
      </x:c>
      <x:c r="AA319" s="9" t="str">
        <x:v>Campy live-action cutscenes wrap a bouncy dune-buggy shooter from Crystal Dynamics.</x:v>
      </x:c>
      <x:c r="AB319" s="9" t="str">
        <x:v>None known</x:v>
      </x:c>
      <x:c r="AC319" s="9" t="str">
        <x:v>Live-action FMV cutscenes (verify)</x:v>
      </x:c>
      <x:c r="AD319" s="9" t="str">
        <x:v>Unknown — verify</x:v>
      </x:c>
      <x:c r="AE319" s="9" t="str">
        <x:v>Unknown — verify</x:v>
      </x:c>
      <x:c r="AF319" s="9" t="str"/>
      <x:c r="AG319" s="9" t="str"/>
      <x:c r="AH319" s="9" t="str">
        <x:v>No</x:v>
      </x:c>
      <x:c r="AI319" s="9" t="str">
        <x:v>Easy</x:v>
      </x:c>
      <x:c r="AJ319" s="9"/>
      <x:c r="AK319" s="9" t="str">
        <x:v>Notable campy FMV; whether the PS1 Extreme version keeps all the 3DO FMV is unverified.</x:v>
      </x:c>
      <x:c r="AL319" s="10" t="n">
        <x:v>8.37</x:v>
      </x:c>
      <x:c r="AM319" s="10" t="n">
        <x:v>18.47</x:v>
      </x:c>
      <x:c r="AN319" s="10" t="n">
        <x:v>84.46</x:v>
      </x:c>
      <x:c r="AO319" s="9" t="str">
        <x:v>2026-10-21</x:v>
      </x:c>
      <x:c r="AP319" s="11" t="str">
        <x:f>HYPERLINK("https://www.pricecharting.com/game/playstation/off-world-interceptor-extreme","PriceCharting")</x:f>
        <x:v>PriceCharting</x:v>
      </x:c>
      <x:c r="AQ319" s="9"/>
      <x:c r="AR319" s="9"/>
      <x:c r="AS319" s="9"/>
      <x:c r="AT319" s="9"/>
      <x:c r="AU319" s="9"/>
      <x:c r="AV319" s="9"/>
      <x:c r="AW319" s="9"/>
      <x:c r="AX319" s="9"/>
      <x:c r="AY319" s="9"/>
      <x:c r="AZ319" s="9"/>
      <x:c r="BA319" s="11" t="str">
        <x:f>HYPERLINK("https://www.mobygames.com/search/?q=Off-World+Interceptor+Extreme","MobyGames")</x:f>
        <x:v>MobyGames</x:v>
      </x:c>
      <x:c r="BB319" s="9" t="str">
        <x:v>91%</x:v>
      </x:c>
      <x:c r="BC319" s="9" t="str">
        <x:v>average of 1 review on Wikipedia (Power Unlimited)</x:v>
      </x:c>
      <x:c r="BD319" s="9" t="str">
        <x:f>HYPERLINK("https://en.wikipedia.org/wiki/Off-World_Interceptor","Source")</x:f>
        <x:v>Source</x:v>
      </x:c>
      <x:c r="BE319" s="11" t="str">
        <x:f>HYPERLINK("https://en.wikipedia.org/wiki/Off-World_Interceptor","Wikipedia")</x:f>
        <x:v>Wikipedia</x:v>
      </x:c>
      <x:c r="BF319" s="11" t="str">
        <x:f>HYPERLINK("https://backloggd.com/search/games/Off-World%20Interceptor%20Extreme/","Backloggd")</x:f>
        <x:v>Backloggd</x:v>
      </x:c>
      <x:c r="BG319" s="9"/>
      <x:c r="BH319" s="9"/>
      <x:c r="BI319" s="12" t="str">
        <x:v>No</x:v>
      </x:c>
      <x:c r="BJ319" s="12" t="str"/>
      <x:c r="BK319" s="12" t="str">
        <x:v>No</x:v>
      </x:c>
      <x:c r="BL319" s="12" t="str"/>
      <x:c r="BM319" s="12" t="str"/>
      <x:c r="BN319" s="12" t="str"/>
      <x:c r="BO319" s="12" t="str"/>
      <x:c r="BP319" s="12" t="str"/>
      <x:c r="BQ319" s="12" t="str"/>
    </x:row>
    <x:row r="320">
      <x:c r="A320" s="9" t="str">
        <x:v>ps1-107</x:v>
      </x:c>
      <x:c r="B320" s="9" t="str">
        <x:v>xenogears</x:v>
      </x:c>
      <x:c r="C320" s="9" t="str">
        <x:v>PlayStation</x:v>
      </x:c>
      <x:c r="D320" s="9" t="str">
        <x:v>Xenogears</x:v>
      </x:c>
      <x:c r="E320" s="9" t="str"/>
      <x:c r="F320" s="9" t="str">
        <x:v>Square</x:v>
      </x:c>
      <x:c r="G320" s="9" t="str">
        <x:v>Square (JP), Square Electronic Arts (NA)</x:v>
      </x:c>
      <x:c r="H320" s="9" t="n">
        <x:v>1998</x:v>
      </x:c>
      <x:c r="I320" s="9" t="str">
        <x:v>Yes</x:v>
      </x:c>
      <x:c r="J320" s="9" t="str">
        <x:v>Yes</x:v>
      </x:c>
      <x:c r="K320" s="9" t="str">
        <x:v>No</x:v>
      </x:c>
      <x:c r="L320" s="9" t="str">
        <x:v>No</x:v>
      </x:c>
      <x:c r="M320" s="9" t="str">
        <x:v>RPG</x:v>
      </x:c>
      <x:c r="N320" s="9" t="str">
        <x:v>Animated</x:v>
      </x:c>
      <x:c r="O320" s="9" t="n">
        <x:v>2</x:v>
      </x:c>
      <x:c r="P320" s="9" t="str">
        <x:v>Cutscenes only</x:v>
      </x:c>
      <x:c r="Q320" s="9" t="str">
        <x:v>Released</x:v>
      </x:c>
      <x:c r="R320" s="9" t="str">
        <x:v>Original production</x:v>
      </x:c>
      <x:c r="S320" s="9" t="str"/>
      <x:c r="T320" s="9" t="str">
        <x:v>Anime FMV by Production I.G</x:v>
      </x:c>
      <x:c r="U320" s="9" t="n">
        <x:v>2</x:v>
      </x:c>
      <x:c r="V320" s="9" t="str">
        <x:v>Yes</x:v>
      </x:c>
      <x:c r="W320" s="9" t="str">
        <x:v>Memory card</x:v>
      </x:c>
      <x:c r="X320" s="9" t="str">
        <x:v>Low–Med</x:v>
      </x:c>
      <x:c r="Y320" s="9" t="str">
        <x:v>Yasunori Mitsuda score</x:v>
      </x:c>
      <x:c r="Z320" s="9" t="str">
        <x:v>60–80 hr</x:v>
      </x:c>
      <x:c r="AA320" s="9" t="str">
        <x:v>Production I.G anime FMV marks the biggest story beats of Square's sprawling Gnostic mecha RPG.</x:v>
      </x:c>
      <x:c r="AB320" s="9" t="str">
        <x:v>None known</x:v>
      </x:c>
      <x:c r="AC320" s="9" t="str">
        <x:v>Full-screen anime FMV cutscenes</x:v>
      </x:c>
      <x:c r="AD320" s="9" t="str">
        <x:v>Moderate</x:v>
      </x:c>
      <x:c r="AE320" s="9" t="str">
        <x:v>Single</x:v>
      </x:c>
      <x:c r="AF320" s="9" t="str">
        <x:v>Disc 2 famously compresses much of the story into narrated scenes due to time and budget limits.</x:v>
      </x:c>
      <x:c r="AG320" s="9" t="str"/>
      <x:c r="AH320" s="9" t="str">
        <x:v>Yes (PSone Classics on PS3/PSP/Vita, verify regions)</x:v>
      </x:c>
      <x:c r="AI320" s="9" t="str">
        <x:v>Expensive</x:v>
      </x:c>
      <x:c r="AJ320" s="9"/>
      <x:c r="AK320" s="9" t="str">
        <x:v>Notable anime cutscene title.</x:v>
      </x:c>
      <x:c r="AL320" s="10" t="n">
        <x:v>125.33</x:v>
      </x:c>
      <x:c r="AM320" s="10" t="n">
        <x:v>192.5</x:v>
      </x:c>
      <x:c r="AN320" s="10" t="n">
        <x:v>448.18</x:v>
      </x:c>
      <x:c r="AO320" s="9" t="str">
        <x:v>2026-10-21</x:v>
      </x:c>
      <x:c r="AP320" s="11" t="str">
        <x:f>HYPERLINK("https://www.pricecharting.com/game/playstation/xenogears","PriceCharting")</x:f>
        <x:v>PriceCharting</x:v>
      </x:c>
      <x:c r="AQ320" s="9"/>
      <x:c r="AR320" s="9"/>
      <x:c r="AS320" s="9"/>
      <x:c r="AT320" s="9"/>
      <x:c r="AU320" s="9"/>
      <x:c r="AV320" s="9"/>
      <x:c r="AW320" s="9"/>
      <x:c r="AX320" s="9"/>
      <x:c r="AY320" s="9"/>
      <x:c r="AZ320" s="9"/>
      <x:c r="BA320" s="11" t="str">
        <x:f>HYPERLINK("https://www.mobygames.com/search/?q=Xenogears","MobyGames")</x:f>
        <x:v>MobyGames</x:v>
      </x:c>
      <x:c r="BB320" s="9" t="str">
        <x:v>91%</x:v>
      </x:c>
      <x:c r="BC320" s="9" t="str">
        <x:v>GameRankings, 21 reviews</x:v>
      </x:c>
      <x:c r="BD320" s="9" t="str">
        <x:f>HYPERLINK("https://web.archive.org/web/20191209015738id_/https://www.gamerankings.com/ps/199365-xenogears/","Source")</x:f>
        <x:v>Source</x:v>
      </x:c>
      <x:c r="BE320" s="11" t="str">
        <x:f>HYPERLINK("https://en.wikipedia.org/wiki/Xenogears","Wikipedia")</x:f>
        <x:v>Wikipedia</x:v>
      </x:c>
      <x:c r="BF320" s="11" t="str">
        <x:f>HYPERLINK("https://backloggd.com/search/games/Xenogears/","Backloggd")</x:f>
        <x:v>Backloggd</x:v>
      </x:c>
      <x:c r="BG320" s="9"/>
      <x:c r="BH320" s="9"/>
      <x:c r="BI320" s="12" t="str">
        <x:v>No</x:v>
      </x:c>
      <x:c r="BJ320" s="12" t="str"/>
      <x:c r="BK320" s="12" t="str">
        <x:v>No</x:v>
      </x:c>
      <x:c r="BL320" s="12" t="str"/>
      <x:c r="BM320" s="12" t="str"/>
      <x:c r="BN320" s="12" t="str"/>
      <x:c r="BO320" s="12" t="str"/>
      <x:c r="BP320" s="12" t="str"/>
      <x:c r="BQ320" s="12" t="str"/>
    </x:row>
    <x:row r="321">
      <x:c r="A321" s="9" t="str">
        <x:v>ps1-108</x:v>
      </x:c>
      <x:c r="B321" s="9" t="str">
        <x:v>chrono-trigger</x:v>
      </x:c>
      <x:c r="C321" s="9" t="str">
        <x:v>PlayStation</x:v>
      </x:c>
      <x:c r="D321" s="9" t="str">
        <x:v>Chrono Trigger (PS1)</x:v>
      </x:c>
      <x:c r="E321" s="9" t="str">
        <x:v>Final Fantasy Chronicles: Chrono Trigger (NA, 2001)</x:v>
      </x:c>
      <x:c r="F321" s="9" t="str">
        <x:v>Tose (port), Square</x:v>
      </x:c>
      <x:c r="G321" s="9" t="str">
        <x:v>Square (JP), Square Electronic Arts (NA)</x:v>
      </x:c>
      <x:c r="H321" s="9" t="n">
        <x:v>1999</x:v>
      </x:c>
      <x:c r="I321" s="9" t="str">
        <x:v>Yes</x:v>
      </x:c>
      <x:c r="J321" s="9" t="str">
        <x:v>Yes</x:v>
      </x:c>
      <x:c r="K321" s="9" t="str">
        <x:v>No</x:v>
      </x:c>
      <x:c r="L321" s="9" t="str">
        <x:v>No</x:v>
      </x:c>
      <x:c r="M321" s="9" t="str">
        <x:v>RPG</x:v>
      </x:c>
      <x:c r="N321" s="9" t="str">
        <x:v>Animated</x:v>
      </x:c>
      <x:c r="O321" s="9" t="n">
        <x:v>2</x:v>
      </x:c>
      <x:c r="P321" s="9" t="str">
        <x:v>Cutscenes only</x:v>
      </x:c>
      <x:c r="Q321" s="9" t="str">
        <x:v>Released</x:v>
      </x:c>
      <x:c r="R321" s="9" t="str">
        <x:v>SNES port</x:v>
      </x:c>
      <x:c r="S321" s="9" t="str">
        <x:v>SNES, Nintendo DS, mobile, PC</x:v>
      </x:c>
      <x:c r="T321" s="9" t="str">
        <x:v>New anime cutscenes animated by Toei Animation from Akira Toriyama designs (verify studio)</x:v>
      </x:c>
      <x:c r="U321" s="9" t="n">
        <x:v>1</x:v>
      </x:c>
      <x:c r="V321" s="9" t="str">
        <x:v>Yes</x:v>
      </x:c>
      <x:c r="W321" s="9" t="str">
        <x:v>Memory card</x:v>
      </x:c>
      <x:c r="X321" s="9" t="str">
        <x:v>Low–Med</x:v>
      </x:c>
      <x:c r="Y321" s="9" t="str">
        <x:v>Yasunori Mitsuda / Nobuo Uematsu score</x:v>
      </x:c>
      <x:c r="Z321" s="9" t="str">
        <x:v>20–25 hr</x:v>
      </x:c>
      <x:c r="AA321" s="9" t="str">
        <x:v>The PS1 port added new Akira Toriyama-style anime FMV to one of the best RPGs ever made.</x:v>
      </x:c>
      <x:c r="AB321" s="9" t="str">
        <x:v>None known</x:v>
      </x:c>
      <x:c r="AC321" s="9" t="str">
        <x:v>Full-screen anime FMV cutscenes added for the port</x:v>
      </x:c>
      <x:c r="AD321" s="9" t="str">
        <x:v>Low to moderate</x:v>
      </x:c>
      <x:c r="AE321" s="9" t="str">
        <x:v>Over a dozen endings (New Game+)</x:v>
      </x:c>
      <x:c r="AF321" s="9" t="str">
        <x:v>The port is known for long load times; the anime scenes later reappeared in the DS version.</x:v>
      </x:c>
      <x:c r="AG321" s="9" t="str">
        <x:v>JP standalone 1999; NA in Final Fantasy Chronicles (2001, with FF IV)</x:v>
      </x:c>
      <x:c r="AH321" s="9" t="str">
        <x:v>Yes (PSone Classics JP/NA as FF Chronicles, verify)</x:v>
      </x:c>
      <x:c r="AI321" s="9" t="str">
        <x:v>Easy</x:v>
      </x:c>
      <x:c r="AJ321" s="9"/>
      <x:c r="AK321" s="9" t="str">
        <x:v>Notable anime cutscene title.</x:v>
      </x:c>
      <x:c r="AL321" s="10" t="n">
        <x:v>27.74</x:v>
      </x:c>
      <x:c r="AM321" s="10" t="n">
        <x:v>32.32</x:v>
      </x:c>
      <x:c r="AN321" s="10" t="n">
        <x:v>136.04</x:v>
      </x:c>
      <x:c r="AO321" s="9" t="str">
        <x:v>2026-10-21</x:v>
      </x:c>
      <x:c r="AP321" s="11" t="str">
        <x:f>HYPERLINK("https://www.pricecharting.com/game/jp-playstation/chrono-trigger","PriceCharting")</x:f>
        <x:v>PriceCharting</x:v>
      </x:c>
      <x:c r="AQ321" s="9"/>
      <x:c r="AR321" s="9"/>
      <x:c r="AS321" s="9"/>
      <x:c r="AT321" s="9"/>
      <x:c r="AU321" s="9"/>
      <x:c r="AV321" s="9"/>
      <x:c r="AW321" s="9"/>
      <x:c r="AX321" s="9"/>
      <x:c r="AY321" s="9"/>
      <x:c r="AZ321" s="9"/>
      <x:c r="BA321" s="11" t="str">
        <x:f>HYPERLINK("https://www.mobygames.com/search/?q=Chrono+Trigger+%28PS1%29","MobyGames")</x:f>
        <x:v>MobyGames</x:v>
      </x:c>
      <x:c r="BB321" s="9" t="str">
        <x:v>87%</x:v>
      </x:c>
      <x:c r="BC321" s="9" t="str">
        <x:v>GameRankings, 22 reviews</x:v>
      </x:c>
      <x:c r="BD321" s="9" t="str">
        <x:f>HYPERLINK("https://web.archive.org/web/20191209012832id_/https://www.gamerankings.com/ps/477343-final-fantasy-chronicles/","Source")</x:f>
        <x:v>Source</x:v>
      </x:c>
      <x:c r="BE321" s="11" t="str">
        <x:f>HYPERLINK("https://en.wikipedia.org/wiki/Chrono_Trigger","Wikipedia")</x:f>
        <x:v>Wikipedia</x:v>
      </x:c>
      <x:c r="BF321" s="11" t="str">
        <x:f>HYPERLINK("https://backloggd.com/search/games/Chrono%20Trigger%20%28PS1%29/","Backloggd")</x:f>
        <x:v>Backloggd</x:v>
      </x:c>
      <x:c r="BG321" s="9"/>
      <x:c r="BH321" s="9"/>
      <x:c r="BI321" s="12" t="str">
        <x:v>No</x:v>
      </x:c>
      <x:c r="BJ321" s="12" t="str"/>
      <x:c r="BK321" s="12" t="str">
        <x:v>No</x:v>
      </x:c>
      <x:c r="BL321" s="12" t="str"/>
      <x:c r="BM321" s="12" t="str"/>
      <x:c r="BN321" s="12" t="str"/>
      <x:c r="BO321" s="12" t="str"/>
      <x:c r="BP321" s="12" t="str"/>
      <x:c r="BQ321" s="12" t="str"/>
    </x:row>
    <x:row r="322">
      <x:c r="A322" s="9" t="str">
        <x:v>saturn-1</x:v>
      </x:c>
      <x:c r="B322" s="9" t="str">
        <x:v>corpse-killer</x:v>
      </x:c>
      <x:c r="C322" s="9" t="str">
        <x:v>Sega Saturn</x:v>
      </x:c>
      <x:c r="D322" s="9" t="str">
        <x:v>Corpse Killer: Graveyard Edition</x:v>
      </x:c>
      <x:c r="E322" s="9" t="str"/>
      <x:c r="F322" s="9" t="str">
        <x:v>Digital Pictures</x:v>
      </x:c>
      <x:c r="G322" s="9" t="str">
        <x:v>Digital Pictures</x:v>
      </x:c>
      <x:c r="H322" s="9" t="n">
        <x:v>1995</x:v>
      </x:c>
      <x:c r="I322" s="9" t="str">
        <x:v>Yes</x:v>
      </x:c>
      <x:c r="J322" s="9" t="str">
        <x:v>No</x:v>
      </x:c>
      <x:c r="K322" s="9" t="str">
        <x:v>No</x:v>
      </x:c>
      <x:c r="L322" s="9" t="str">
        <x:v>No</x:v>
      </x:c>
      <x:c r="M322" s="9" t="str">
        <x:v>Light-gun rail shooter</x:v>
      </x:c>
      <x:c r="N322" s="9" t="str">
        <x:v>Live-action</x:v>
      </x:c>
      <x:c r="O322" s="9" t="n">
        <x:v>9</x:v>
      </x:c>
      <x:c r="P322" s="9" t="str">
        <x:v>Digital Pictures</x:v>
      </x:c>
      <x:c r="Q322" s="9" t="str">
        <x:v>Released</x:v>
      </x:c>
      <x:c r="R322" s="9" t="str">
        <x:v>Original production (Digital Pictures, 1994 Sega CD/32X game), enhanced re-release</x:v>
      </x:c>
      <x:c r="S322" s="9" t="str">
        <x:v>Sega CD, Sega 32X CD, 3DO, PC, PlayStation (Graveyard Edition); 2021 remaster by Screaming Villains (Switch, PS4, Xbox, Steam)</x:v>
      </x:c>
      <x:c r="T322" s="9" t="str">
        <x:v>Vincent Schiavelli (Hellman), Jeremiah Birkett (Winston), Bridget Butler (Julie), John Cassini (Magliano), Gary Anthony Sturgis (Fleming), Erin Bobo (Duffy), Bill Moseley (Captain), Charles Kahlenberg (General)</x:v>
      </x:c>
      <x:c r="U322" s="9" t="n">
        <x:v>1</x:v>
      </x:c>
      <x:c r="V322" s="9" t="str">
        <x:v>No</x:v>
      </x:c>
      <x:c r="W322" s="9" t="str">
        <x:v>Control pad only; the Saturn version is the one release of the game without light-gun support</x:v>
      </x:c>
      <x:c r="X322" s="9" t="str">
        <x:v>Low</x:v>
      </x:c>
      <x:c r="Y322" s="9" t="str"/>
      <x:c r="Z322" s="9" t="str">
        <x:v>1–2 hr</x:v>
      </x:c>
      <x:c r="AA322" s="9" t="str">
        <x:v>Vincent Schiavelli raising zombies on a Caribbean island while you shoot sprites over grainy Digital Pictures video, in its best-looking version.</x:v>
      </x:c>
      <x:c r="AB322" s="9" t="str">
        <x:v>None known</x:v>
      </x:c>
      <x:c r="AC322" s="9" t="str">
        <x:v>Full-screen video (other versions box the FMV in) with improved quality; still grainy by Saturn standards</x:v>
      </x:c>
      <x:c r="AD322" s="9" t="str">
        <x:v>Selectable: Normal, Bloodthirsty, Cannibal; ammo management and correct-ammo shots against the undead</x:v>
      </x:c>
      <x:c r="AE322" s="9" t="str">
        <x:v>One main ending; Julie/Winston story beats vary with performance (verify)</x:v>
      </x:c>
      <x:c r="AF322" s="9" t="str">
        <x:v>Saturn-exclusive extras: full-screen video, a difficulty select, shootable power-ups dropping from the top of the screen, and 'in your face' zombies that only armor-piercing or Datura rounds can kill. Footage was recycled for the 2003 film Game Over.</x:v>
      </x:c>
      <x:c r="AG322" s="9" t="str">
        <x:v>NA only (Nov 10, 1995); no PAL or JP Saturn release found</x:v>
      </x:c>
      <x:c r="AH322" s="9" t="str">
        <x:v>Yes (25th Anniversary Edition: Steam, Switch, PS4, Xbox One — Screaming Villains)</x:v>
      </x:c>
      <x:c r="AI322" s="9" t="str">
        <x:v>Easy</x:v>
      </x:c>
      <x:c r="AJ322" s="9"/>
      <x:c r="AK322" s="9" t="str">
        <x:v>Wikipedia lists only a North American Saturn release (Nov 10, 1995); eu set false (PAL release not found, verify). EGM turned on the game for Saturn, calling the scenes dull and the video substandard; GamePro said the grainy FMV was still the best of any version. PriceCharting US page confirmed (prices pulled). Sega Retro blocked the fetch; MobyGames scores not visible.</x:v>
      </x:c>
      <x:c r="AL322" s="10" t="n">
        <x:v>32.49</x:v>
      </x:c>
      <x:c r="AM322" s="10" t="n">
        <x:v>61.72</x:v>
      </x:c>
      <x:c r="AN322" s="10" t="n">
        <x:v>104.58</x:v>
      </x:c>
      <x:c r="AO322" s="9" t="str">
        <x:v>2026-10-21</x:v>
      </x:c>
      <x:c r="AP322" s="11" t="str">
        <x:f>HYPERLINK("https://www.pricecharting.com/game/sega-saturn/corpse-killer-graveyard-edition","PriceCharting")</x:f>
        <x:v>PriceCharting</x:v>
      </x:c>
      <x:c r="AQ322" s="9"/>
      <x:c r="AR322" s="9"/>
      <x:c r="AS322" s="9"/>
      <x:c r="AT322" s="9"/>
      <x:c r="AU322" s="9"/>
      <x:c r="AV322" s="9"/>
      <x:c r="AW322" s="9"/>
      <x:c r="AX322" s="9"/>
      <x:c r="AY322" s="9"/>
      <x:c r="AZ322" s="9"/>
      <x:c r="BA322" s="11" t="str">
        <x:f>HYPERLINK("https://www.mobygames.com/search/?q=Corpse+Killer%3A+Graveyard+Edition","MobyGames")</x:f>
        <x:v>MobyGames</x:v>
      </x:c>
      <x:c r="BB322" s="9" t="str">
        <x:v>44%</x:v>
      </x:c>
      <x:c r="BC322" s="9" t="str">
        <x:v>GameRankings, 1 review</x:v>
      </x:c>
      <x:c r="BD322" s="9" t="str">
        <x:f>HYPERLINK("https://web.archive.org/web/20191209014521id_/https://www.gamerankings.com/saturn/574577-corpse-killer-graveyard-edition/","Source")</x:f>
        <x:v>Source</x:v>
      </x:c>
      <x:c r="BE322" s="11" t="str">
        <x:f>HYPERLINK("https://en.wikipedia.org/wiki/Corpse_Killer","Wikipedia")</x:f>
        <x:v>Wikipedia</x:v>
      </x:c>
      <x:c r="BF322" s="11" t="str">
        <x:f>HYPERLINK("https://backloggd.com/search/games/Corpse%20Killer%3A%20Graveyard%20Edition/","Backloggd")</x:f>
        <x:v>Backloggd</x:v>
      </x:c>
      <x:c r="BG322" s="9"/>
      <x:c r="BH322" s="9"/>
      <x:c r="BI322" s="12" t="str">
        <x:v>No</x:v>
      </x:c>
      <x:c r="BJ322" s="12" t="str"/>
      <x:c r="BK322" s="12" t="str">
        <x:v>No</x:v>
      </x:c>
      <x:c r="BL322" s="12" t="str"/>
      <x:c r="BM322" s="12" t="str"/>
      <x:c r="BN322" s="12" t="str"/>
      <x:c r="BO322" s="12" t="str"/>
      <x:c r="BP322" s="12" t="str"/>
      <x:c r="BQ322" s="12" t="str"/>
    </x:row>
    <x:row r="323">
      <x:c r="A323" s="9" t="str">
        <x:v>saturn-2</x:v>
      </x:c>
      <x:c r="B323" s="9" t="str">
        <x:v>double-switch</x:v>
      </x:c>
      <x:c r="C323" s="9" t="str">
        <x:v>Sega Saturn</x:v>
      </x:c>
      <x:c r="D323" s="9" t="str">
        <x:v>Double Switch</x:v>
      </x:c>
      <x:c r="E323" s="9" t="str"/>
      <x:c r="F323" s="9" t="str">
        <x:v>Digital Pictures</x:v>
      </x:c>
      <x:c r="G323" s="9" t="str">
        <x:v>Digital Pictures</x:v>
      </x:c>
      <x:c r="H323" s="9" t="n">
        <x:v>1995</x:v>
      </x:c>
      <x:c r="I323" s="9" t="str">
        <x:v>Yes</x:v>
      </x:c>
      <x:c r="J323" s="9" t="str">
        <x:v>No</x:v>
      </x:c>
      <x:c r="K323" s="9" t="str">
        <x:v>No</x:v>
      </x:c>
      <x:c r="L323" s="9" t="str">
        <x:v>No</x:v>
      </x:c>
      <x:c r="M323" s="9" t="str">
        <x:v>Trap-setting interactive movie</x:v>
      </x:c>
      <x:c r="N323" s="9" t="str">
        <x:v>Live-action</x:v>
      </x:c>
      <x:c r="O323" s="9" t="n">
        <x:v>10</x:v>
      </x:c>
      <x:c r="P323" s="9" t="str">
        <x:v>Digital Pictures</x:v>
      </x:c>
      <x:c r="Q323" s="9" t="str">
        <x:v>Released</x:v>
      </x:c>
      <x:c r="R323" s="9" t="str">
        <x:v>Original production (Digital Pictures, 1993 Sega CD)</x:v>
      </x:c>
      <x:c r="S323" s="9" t="str">
        <x:v>Sega CD, PC, Mac; 25th Anniversary Edition (2019) on Steam, Switch, PS4, Xbox One</x:v>
      </x:c>
      <x:c r="T323" s="9" t="str">
        <x:v>Corey Haim (Eddie), Deborah Harry (Elizabeth), R. Lee Ermey (Lyle), Camille Cooper (Alex), Irwin Keyes (Brutus), David Packer (Jeff), Wendy Gazelle (Phoebe), Kimberly Oja (Laura), Taylor Negron (Slick Sammy)</x:v>
      </x:c>
      <x:c r="U323" s="9" t="n">
        <x:v>1</x:v>
      </x:c>
      <x:c r="V323" s="9" t="str">
        <x:v>Unknown — verify</x:v>
      </x:c>
      <x:c r="W323" s="9" t="str">
        <x:v>Standard control pad</x:v>
      </x:c>
      <x:c r="X323" s="9" t="str">
        <x:v>Low–Med</x:v>
      </x:c>
      <x:c r="Y323" s="9" t="str">
        <x:v>Celebrity cast footage is original; low music risk</x:v>
      </x:c>
      <x:c r="Z323" s="9" t="str">
        <x:v>1–2 hr</x:v>
      </x:c>
      <x:c r="AA323" s="9" t="str">
        <x:v>Corey Haim directing traps from a basement security console, Night Trap's spiritual sequel, on Saturn in Japan only.</x:v>
      </x:c>
      <x:c r="AB323" s="9" t="str">
        <x:v>None known</x:v>
      </x:c>
      <x:c r="AC323" s="9" t="str">
        <x:v>Multi-camera security-feed windows; enhanced over the Sega CD but judged below Saturn standards by reviewers</x:v>
      </x:c>
      <x:c r="AD323" s="9" t="str">
        <x:v>Hard first time; trial-and-error timing like Night Trap</x:v>
      </x:c>
      <x:c r="AE323" s="9" t="str">
        <x:v>Linear with failure states; one good ending</x:v>
      </x:c>
      <x:c r="AF323" s="9" t="str">
        <x:v>Digital Pictures' follow-up to Night Trap, built around the same trap-the-intruders format.</x:v>
      </x:c>
      <x:c r="AG323" s="9" t="str">
        <x:v>NA only on Saturn (1995). The March 1995 Japanese release was the Mega-CD version</x:v>
      </x:c>
      <x:c r="AH323" s="9" t="str">
        <x:v>Yes (25th Anniversary Edition: Steam, Switch, PS4, Xbox One)</x:v>
      </x:c>
      <x:c r="AI323" s="9" t="str">
        <x:v>Easy</x:v>
      </x:c>
      <x:c r="AJ323" s="9"/>
      <x:c r="AK323" s="9" t="str">
        <x:v>Corrected: the Saturn version was a 1995 North American release by Digital Pictures, not Japan-only (the JP date in earlier notes belongs to the Mega-CD). Next Generation said the video would have been fine on Sega CD but not on Saturn. Hidden Palace holds an Oct 3 1995 prototype (platform not checked). PriceCharting URL was a guessed JP slug; check for a US Saturn page. MobyGames scores not visible.</x:v>
      </x:c>
      <x:c r="AL323" s="10" t="n">
        <x:v>18.24</x:v>
      </x:c>
      <x:c r="AM323" s="10" t="n">
        <x:v>28.1</x:v>
      </x:c>
      <x:c r="AN323" s="10" t="n">
        <x:v>49.95</x:v>
      </x:c>
      <x:c r="AO323" s="9" t="str">
        <x:v>2026-10-21</x:v>
      </x:c>
      <x:c r="AP323" s="11" t="str">
        <x:f>HYPERLINK("https://www.pricecharting.com/game/sega-saturn/double-switch","PriceCharting")</x:f>
        <x:v>PriceCharting</x:v>
      </x:c>
      <x:c r="AQ323" s="9"/>
      <x:c r="AR323" s="9"/>
      <x:c r="AS323" s="9"/>
      <x:c r="AT323" s="9"/>
      <x:c r="AU323" s="9"/>
      <x:c r="AV323" s="9"/>
      <x:c r="AW323" s="9"/>
      <x:c r="AX323" s="9"/>
      <x:c r="AY323" s="9"/>
      <x:c r="AZ323" s="9" t="str">
        <x:v>3.0</x:v>
      </x:c>
      <x:c r="BA323" s="11" t="str">
        <x:f>HYPERLINK("https://www.mobygames.com/search/?q=Double+Switch","MobyGames")</x:f>
        <x:v>MobyGames</x:v>
      </x:c>
      <x:c r="BB323" s="9" t="str">
        <x:v>40%</x:v>
      </x:c>
      <x:c r="BC323" s="9" t="str">
        <x:v>average of 1 review on Wikipedia (NGen)</x:v>
      </x:c>
      <x:c r="BD323" s="9" t="str">
        <x:f>HYPERLINK("https://en.wikipedia.org/wiki/Double_Switch_%28video_game%29","Source")</x:f>
        <x:v>Source</x:v>
      </x:c>
      <x:c r="BE323" s="11" t="str">
        <x:f>HYPERLINK("https://en.wikipedia.org/wiki/Double_Switch_(video_game)","Wikipedia")</x:f>
        <x:v>Wikipedia</x:v>
      </x:c>
      <x:c r="BF323" s="11" t="str">
        <x:f>HYPERLINK("https://backloggd.com/search/games/Double%20Switch/","Backloggd")</x:f>
        <x:v>Backloggd</x:v>
      </x:c>
      <x:c r="BG323" s="11" t="str">
        <x:f>HYPERLINK("https://segaretro.org/Double_Switch","Sega Retro")</x:f>
        <x:v>Sega Retro</x:v>
      </x:c>
      <x:c r="BH323" s="9"/>
      <x:c r="BI323" s="12" t="str">
        <x:v>No</x:v>
      </x:c>
      <x:c r="BJ323" s="12" t="str"/>
      <x:c r="BK323" s="12" t="str">
        <x:v>No</x:v>
      </x:c>
      <x:c r="BL323" s="12" t="str"/>
      <x:c r="BM323" s="12" t="str"/>
      <x:c r="BN323" s="12" t="str"/>
      <x:c r="BO323" s="12" t="str"/>
      <x:c r="BP323" s="12" t="str"/>
      <x:c r="BQ323" s="12" t="str"/>
    </x:row>
    <x:row r="324">
      <x:c r="A324" s="9" t="str">
        <x:v>saturn-3</x:v>
      </x:c>
      <x:c r="B324" s="9" t="str">
        <x:v>brain-dead-13</x:v>
      </x:c>
      <x:c r="C324" s="9" t="str">
        <x:v>Sega Saturn</x:v>
      </x:c>
      <x:c r="D324" s="9" t="str">
        <x:v>Brain Dead 13</x:v>
      </x:c>
      <x:c r="E324" s="9" t="str">
        <x:v>ブレインデッド13</x:v>
      </x:c>
      <x:c r="F324" s="9" t="str">
        <x:v>ReadySoft</x:v>
      </x:c>
      <x:c r="G324" s="9" t="str">
        <x:v>ReadySoft (NA); Coconuts Japan (JP); PAL publisher verify</x:v>
      </x:c>
      <x:c r="H324" s="9" t="n">
        <x:v>1996</x:v>
      </x:c>
      <x:c r="I324" s="9" t="str">
        <x:v>Yes</x:v>
      </x:c>
      <x:c r="J324" s="9" t="str">
        <x:v>Yes</x:v>
      </x:c>
      <x:c r="K324" s="9" t="str">
        <x:v>Yes</x:v>
      </x:c>
      <x:c r="L324" s="9" t="str">
        <x:v>No</x:v>
      </x:c>
      <x:c r="M324" s="9" t="str">
        <x:v>Animated interactive movie</x:v>
      </x:c>
      <x:c r="N324" s="9" t="str">
        <x:v>Animated</x:v>
      </x:c>
      <x:c r="O324" s="9" t="n">
        <x:v>10</x:v>
      </x:c>
      <x:c r="P324" s="9" t="str">
        <x:v>Interactive movie</x:v>
      </x:c>
      <x:c r="Q324" s="9" t="str">
        <x:v>Released</x:v>
      </x:c>
      <x:c r="R324" s="9" t="str">
        <x:v>Original production (ReadySoft, PC 1995)</x:v>
      </x:c>
      <x:c r="S324" s="9" t="str">
        <x:v>PC, Mac, 3DO, CD-i, Jaguar CD, PlayStation; historical Digital Leisure ports (iOS, etc.)</x:v>
      </x:c>
      <x:c r="T324" s="9" t="str">
        <x:v>Voices: Riccardo Durante (Lance), Dave Quesnelle (Dr. Nero Neurosis), Joe Giampapa (Fritz)</x:v>
      </x:c>
      <x:c r="U324" s="9" t="n">
        <x:v>1</x:v>
      </x:c>
      <x:c r="V324" s="9" t="str">
        <x:v>Unknown — verify</x:v>
      </x:c>
      <x:c r="W324" s="9" t="str">
        <x:v>Standard control pad</x:v>
      </x:c>
      <x:c r="X324" s="9" t="str">
        <x:v>Low</x:v>
      </x:c>
      <x:c r="Y324" s="9" t="str"/>
      <x:c r="Z324" s="9" t="str">
        <x:v>30–60 min</x:v>
      </x:c>
      <x:c r="AA324" s="9" t="str">
        <x:v>A Dragon's Lair-style cartoon from the Space Ace makers' successor studio: Lance dodges Fritz through Dr. Nero Neurosis's castle.</x:v>
      </x:c>
      <x:c r="AB324" s="9" t="str">
        <x:v>None known</x:v>
      </x:c>
      <x:c r="AC324" s="9" t="str">
        <x:v>Full-screen hand-drawn animation squeezed onto one disc; heavily compressed, far below the two-disc 3DO and PlayStation versions</x:v>
      </x:c>
      <x:c r="AD324" s="9" t="str">
        <x:v>Hard; memorise directional/action inputs at each beat</x:v>
      </x:c>
      <x:c r="AE324" s="9" t="str">
        <x:v>Non-linear castle exploration; one ending, many death scenes</x:v>
      </x:c>
      <x:c r="AF324" s="9" t="str">
        <x:v>The Saturn, PC and Jaguar CD versions fit on a single CD and so have much lower video quality than the two-disc 3DO and PlayStation releases. Japanese releases dub the spoken lines but keep the original actors' laughs and grunts.</x:v>
      </x:c>
      <x:c r="AG324" s="9" t="str">
        <x:v>NA (ReadySoft) and JP (Coconuts Japan); PAL release unconfirmed (verify)</x:v>
      </x:c>
      <x:c r="AH324" s="9" t="str">
        <x:v>No verified current digital sale; historical iOS edition and original discs.</x:v>
      </x:c>
      <x:c r="AI324" s="9" t="str">
        <x:v>Easy</x:v>
      </x:c>
      <x:c r="AJ324" s="9"/>
      <x:c r="AK324" s="9" t="str">
        <x:v>NA Saturn release confirmed by EGM and GamePro Saturn reviews, both of which savaged its low-quality FMV (GamePro: 1/5 for control and fun). JP Saturn by Coconuts Japan per Wikipedia. EU Saturn release still unconfirmed (verify). MobyGames scores not visible.</x:v>
      </x:c>
      <x:c r="AL324" s="10" t="n">
        <x:v>27.49</x:v>
      </x:c>
      <x:c r="AM324" s="10" t="n">
        <x:v>87.26</x:v>
      </x:c>
      <x:c r="AN324" s="10" t="n">
        <x:v>148</x:v>
      </x:c>
      <x:c r="AO324" s="9" t="str">
        <x:v>2026-10-21</x:v>
      </x:c>
      <x:c r="AP324" s="11" t="str">
        <x:f>HYPERLINK("https://www.pricecharting.com/game/sega-saturn/brain-dead-13","PriceCharting")</x:f>
        <x:v>PriceCharting</x:v>
      </x:c>
      <x:c r="AQ324" s="9"/>
      <x:c r="AR324" s="9"/>
      <x:c r="AS324" s="9"/>
      <x:c r="AT324" s="9"/>
      <x:c r="AU324" s="9"/>
      <x:c r="AV324" s="9"/>
      <x:c r="AW324" s="9"/>
      <x:c r="AX324" s="9"/>
      <x:c r="AY324" s="9"/>
      <x:c r="AZ324" s="9"/>
      <x:c r="BA324" s="11" t="str">
        <x:f>HYPERLINK("https://www.mobygames.com/search/?q=Brain+Dead+13","MobyGames")</x:f>
        <x:v>MobyGames</x:v>
      </x:c>
      <x:c r="BB324" s="9" t="str">
        <x:v>54%</x:v>
      </x:c>
      <x:c r="BC324" s="9" t="str">
        <x:v>GameRankings, 3 reviews</x:v>
      </x:c>
      <x:c r="BD324" s="9" t="str">
        <x:f>HYPERLINK("https://web.archive.org/web/20191209013306id_/https://www.gamerankings.com/saturn/196812-brain-dead-13/","Source")</x:f>
        <x:v>Source</x:v>
      </x:c>
      <x:c r="BE324" s="11" t="str">
        <x:f>HYPERLINK("https://en.wikipedia.org/wiki/Brain_Dead_13","Wikipedia")</x:f>
        <x:v>Wikipedia</x:v>
      </x:c>
      <x:c r="BF324" s="11" t="str">
        <x:f>HYPERLINK("https://backloggd.com/search/games/Brain%20Dead%2013/","Backloggd")</x:f>
        <x:v>Backloggd</x:v>
      </x:c>
      <x:c r="BG324" s="11" t="str">
        <x:f>HYPERLINK("https://segaretro.org/Brain_Dead_13","Sega Retro")</x:f>
        <x:v>Sega Retro</x:v>
      </x:c>
      <x:c r="BH324" s="9"/>
      <x:c r="BI324" s="12" t="str">
        <x:v>No</x:v>
      </x:c>
      <x:c r="BJ324" s="12" t="str"/>
      <x:c r="BK324" s="12" t="str">
        <x:v>No</x:v>
      </x:c>
      <x:c r="BL324" s="12" t="str"/>
      <x:c r="BM324" s="12" t="str"/>
      <x:c r="BN324" s="12" t="str"/>
      <x:c r="BO324" s="12" t="str"/>
      <x:c r="BP324" s="12" t="str"/>
      <x:c r="BQ324" s="12" t="str"/>
    </x:row>
    <x:row r="325">
      <x:c r="A325" s="9" t="str">
        <x:v>saturn-4</x:v>
      </x:c>
      <x:c r="B325" s="9" t="str">
        <x:v>time-gal-and-ninja-hayate</x:v>
      </x:c>
      <x:c r="C325" s="9" t="str">
        <x:v>Sega Saturn</x:v>
      </x:c>
      <x:c r="D325" s="9" t="str">
        <x:v>Time Gal &amp; Ninja Hayate</x:v>
      </x:c>
      <x:c r="E325" s="9" t="str">
        <x:v>タイムギャル&amp;忍者ハヤテ; Interactive Movie Action: Time Gal &amp; Ninja Hayate</x:v>
      </x:c>
      <x:c r="F325" s="9" t="str">
        <x:v>Ecseco Development</x:v>
      </x:c>
      <x:c r="G325" s="9" t="str">
        <x:v>Ecseco Development (JP)</x:v>
      </x:c>
      <x:c r="H325" s="9" t="n">
        <x:v>1997</x:v>
      </x:c>
      <x:c r="I325" s="9" t="str">
        <x:v>No</x:v>
      </x:c>
      <x:c r="J325" s="9" t="str">
        <x:v>Yes</x:v>
      </x:c>
      <x:c r="K325" s="9" t="str">
        <x:v>No</x:v>
      </x:c>
      <x:c r="L325" s="9" t="str">
        <x:v>No</x:v>
      </x:c>
      <x:c r="M325" s="9" t="str">
        <x:v>Animated laserdisc action</x:v>
      </x:c>
      <x:c r="N325" s="9" t="str">
        <x:v>Animated</x:v>
      </x:c>
      <x:c r="O325" s="9" t="n">
        <x:v>10</x:v>
      </x:c>
      <x:c r="P325" s="9" t="str">
        <x:v>Laserdisc port</x:v>
      </x:c>
      <x:c r="Q325" s="9" t="str">
        <x:v>Released</x:v>
      </x:c>
      <x:c r="R325" s="9" t="str">
        <x:v>Taito arcade laserdisc games (Time Gal 1985, Ninja Hayate 1984)</x:v>
      </x:c>
      <x:c r="S325" s="9" t="str">
        <x:v>PlayStation (same compilation); Time Gal also on Sega CD</x:v>
      </x:c>
      <x:c r="T325" s="9" t="str">
        <x:v>—</x:v>
      </x:c>
      <x:c r="U325" s="9" t="n">
        <x:v>2</x:v>
      </x:c>
      <x:c r="V325" s="9" t="str">
        <x:v>Unknown — verify</x:v>
      </x:c>
      <x:c r="W325" s="9" t="str">
        <x:v>Standard control pad</x:v>
      </x:c>
      <x:c r="X325" s="9" t="str">
        <x:v>Low–Med</x:v>
      </x:c>
      <x:c r="Y325" s="9" t="str">
        <x:v>1980s anime footage owned by Taito/animation studio</x:v>
      </x:c>
      <x:c r="Z325" s="9" t="str">
        <x:v>1 hr (both games)</x:v>
      </x:c>
      <x:c r="AA325" s="9" t="str">
        <x:v>Two Taito anime laserdisc games on one Saturn release, including Ninja Hayate's first home port.</x:v>
      </x:c>
      <x:c r="AB325" s="9" t="str">
        <x:v>None known</x:v>
      </x:c>
      <x:c r="AC325" s="9" t="str">
        <x:v>Full-screen anime from the laserdisc originals; one game per disc</x:v>
      </x:c>
      <x:c r="AD325" s="9" t="str">
        <x:v>Hard; split-second directional prompts</x:v>
      </x:c>
      <x:c r="AE325" s="9" t="str">
        <x:v>Linear; Time Gal has multiple endings (verify)</x:v>
      </x:c>
      <x:c r="AF325" s="9" t="str">
        <x:v>Two discs, one game each, with a 'DIP mode' that recreates the arcade board settings (lives, stage order, fonts, English/Japanese text) plus a hidden scene viewer, sound test and infinite lives. The Saturn version came a year after the identical PlayStation release.</x:v>
      </x:c>
      <x:c r="AG325" s="9" t="str">
        <x:v>Japan only</x:v>
      </x:c>
      <x:c r="AH325" s="9" t="str">
        <x:v>No</x:v>
      </x:c>
      <x:c r="AI325" s="9" t="str">
        <x:v>Expensive</x:v>
      </x:c>
      <x:c r="AJ325" s="9"/>
      <x:c r="AK325" s="9" t="str">
        <x:v>Japan only per Wikipedia (Ecseco conversion). Two discs confirmed by Japanese Wikipedia. Year set 1997 because the Saturn version followed the PlayStation one by a year; exact date unconfirmed (verify). Product code T-6214 suspected (verify). PriceCharting URL is a guessed slug; no price. Sega Retro blocked the fetch; MobyGames scores not visible.</x:v>
      </x:c>
      <x:c r="AL325" s="10" t="n">
        <x:v>134.55</x:v>
      </x:c>
      <x:c r="AM325" s="10" t="n">
        <x:v>179.04</x:v>
      </x:c>
      <x:c r="AN325" s="10" t="n">
        <x:v>304</x:v>
      </x:c>
      <x:c r="AO325" s="9" t="str">
        <x:v>2026-10-21</x:v>
      </x:c>
      <x:c r="AP325" s="11" t="str">
        <x:f>HYPERLINK("https://www.pricecharting.com/game/jp-sega-saturn/time-gal-&amp;-ninja-hayate","PriceCharting")</x:f>
        <x:v>PriceCharting</x:v>
      </x:c>
      <x:c r="AQ325" s="9"/>
      <x:c r="AR325" s="9"/>
      <x:c r="AS325" s="9"/>
      <x:c r="AT325" s="9"/>
      <x:c r="AU325" s="9"/>
      <x:c r="AV325" s="9"/>
      <x:c r="AW325" s="9"/>
      <x:c r="AX325" s="9"/>
      <x:c r="AY325" s="9"/>
      <x:c r="AZ325" s="9"/>
      <x:c r="BA325" s="11" t="str">
        <x:f>HYPERLINK("https://www.mobygames.com/search/?q=Time+Gal+%26+Ninja+Hayate","MobyGames")</x:f>
        <x:v>MobyGames</x:v>
      </x:c>
      <x:c r="BB325" s="9"/>
      <x:c r="BC325" s="9"/>
      <x:c r="BD325" s="9"/>
      <x:c r="BE325" s="11" t="str">
        <x:f>HYPERLINK("https://en.wikipedia.org/wiki/Ninja_Hayate","Wikipedia")</x:f>
        <x:v>Wikipedia</x:v>
      </x:c>
      <x:c r="BF325" s="11" t="str">
        <x:f>HYPERLINK("https://backloggd.com/search/games/Time%20Gal%20%26%20Ninja%20Hayate/","Backloggd")</x:f>
        <x:v>Backloggd</x:v>
      </x:c>
      <x:c r="BG325" s="11" t="str">
        <x:f>HYPERLINK("https://segaretro.org/Time_Gal_%26_Ninja_Hayate","Sega Retro")</x:f>
        <x:v>Sega Retro</x:v>
      </x:c>
      <x:c r="BH325" s="9"/>
      <x:c r="BI325" s="12" t="str">
        <x:v>No</x:v>
      </x:c>
      <x:c r="BJ325" s="12" t="str"/>
      <x:c r="BK325" s="12" t="str">
        <x:v>No</x:v>
      </x:c>
      <x:c r="BL325" s="12" t="str"/>
      <x:c r="BM325" s="12" t="str"/>
      <x:c r="BN325" s="12" t="str"/>
      <x:c r="BO325" s="12" t="str"/>
      <x:c r="BP325" s="12" t="str"/>
      <x:c r="BQ325" s="12" t="str"/>
    </x:row>
    <x:row r="326">
      <x:c r="A326" s="9" t="str">
        <x:v>saturn-5</x:v>
      </x:c>
      <x:c r="B326" s="9" t="str">
        <x:v>thunder-storm-and-road-blaster</x:v>
      </x:c>
      <x:c r="C326" s="9" t="str">
        <x:v>Sega Saturn</x:v>
      </x:c>
      <x:c r="D326" s="9" t="str">
        <x:v>Thunder Storm &amp; Road Blaster</x:v>
      </x:c>
      <x:c r="E326" s="9" t="str">
        <x:v>サンダーストーム&amp;ロードブラスター; contains Thunder Storm (Cobra Command) and Road Blaster (Road Avenger)</x:v>
      </x:c>
      <x:c r="F326" s="9" t="str">
        <x:v>Ecseco Development</x:v>
      </x:c>
      <x:c r="G326" s="9" t="str">
        <x:v>Ecseco Development (JP)</x:v>
      </x:c>
      <x:c r="H326" s="9" t="n">
        <x:v>1995</x:v>
      </x:c>
      <x:c r="I326" s="9" t="str">
        <x:v>No</x:v>
      </x:c>
      <x:c r="J326" s="9" t="str">
        <x:v>Yes</x:v>
      </x:c>
      <x:c r="K326" s="9" t="str">
        <x:v>No</x:v>
      </x:c>
      <x:c r="L326" s="9" t="str">
        <x:v>No</x:v>
      </x:c>
      <x:c r="M326" s="9" t="str">
        <x:v>Animated laserdisc action / shooter</x:v>
      </x:c>
      <x:c r="N326" s="9" t="str">
        <x:v>Animated</x:v>
      </x:c>
      <x:c r="O326" s="9" t="n">
        <x:v>10</x:v>
      </x:c>
      <x:c r="P326" s="9" t="str">
        <x:v>Laserdisc port</x:v>
      </x:c>
      <x:c r="Q326" s="9" t="str">
        <x:v>Released</x:v>
      </x:c>
      <x:c r="R326" s="9" t="str">
        <x:v>Data East arcade laserdisc games (Thunder Storm 1984, Road Blaster 1985)</x:v>
      </x:c>
      <x:c r="S326" s="9" t="str">
        <x:v>PlayStation (same compilation, SLPS-00094); Road Blaster also on Sega CD (Road Avenger), MSX, Sharp X1 etc.</x:v>
      </x:c>
      <x:c r="T326" s="9" t="str">
        <x:v>—</x:v>
      </x:c>
      <x:c r="U326" s="9" t="n">
        <x:v>2</x:v>
      </x:c>
      <x:c r="V326" s="9" t="str">
        <x:v>Unknown — verify</x:v>
      </x:c>
      <x:c r="W326" s="9" t="str">
        <x:v>Standard control pad</x:v>
      </x:c>
      <x:c r="X326" s="9" t="str">
        <x:v>Low–Med</x:v>
      </x:c>
      <x:c r="Y326" s="9" t="str">
        <x:v>1980s anime footage</x:v>
      </x:c>
      <x:c r="Z326" s="9" t="str">
        <x:v>1 hr (both games)</x:v>
      </x:c>
      <x:c r="AA326" s="9" t="str">
        <x:v>Road Blaster's revenge-driving anime and the Thunder Storm helicopter shooter, together on a Japan-only Saturn release.</x:v>
      </x:c>
      <x:c r="AB326" s="9" t="str">
        <x:v>None known</x:v>
      </x:c>
      <x:c r="AC326" s="9" t="str">
        <x:v>Full-screen anime; quality unconfirmed (verify)</x:v>
      </x:c>
      <x:c r="AD326" s="9" t="str">
        <x:v>Moderate to hard; reflex prompts</x:v>
      </x:c>
      <x:c r="AE326" s="9" t="str">
        <x:v>Linear</x:v>
      </x:c>
      <x:c r="AF326" s="9" t="str">
        <x:v>FMV World lists this as a Japan-only Saturn 'Road Avenger'; Road Avenger was the Western Sega CD name for Road Blaster. Famicom Tsūshin scored the Saturn version 25/40.</x:v>
      </x:c>
      <x:c r="AG326" s="9" t="str">
        <x:v>Japan only</x:v>
      </x:c>
      <x:c r="AH326" s="9" t="str">
        <x:v>No</x:v>
      </x:c>
      <x:c r="AI326" s="9" t="str">
        <x:v>Import</x:v>
      </x:c>
      <x:c r="AJ326" s="9"/>
      <x:c r="AK326" s="9" t="str">
        <x:v>Saturn release confirmed by Wikipedia (compilation with Thunder Storm, aka Cobra Command); Japanese Wikipedia dates the Saturn/PlayStation compilation to 1995. 2-disc count from a ROM listing named '...road-blaster-2' (verify). PriceCharting URL is a guessed slug; no price. Sega Retro blocked the fetch; MobyGames scores not visible.</x:v>
      </x:c>
      <x:c r="AL326" s="10" t="n">
        <x:v>29.61</x:v>
      </x:c>
      <x:c r="AM326" s="10" t="n">
        <x:v>47</x:v>
      </x:c>
      <x:c r="AN326" s="10" t="n">
        <x:v>80</x:v>
      </x:c>
      <x:c r="AO326" s="9" t="str">
        <x:v>2026-10-21</x:v>
      </x:c>
      <x:c r="AP326" s="11" t="str">
        <x:f>HYPERLINK("https://www.pricecharting.com/game/jp-sega-saturn/thunder-storm-&amp;-road-blaster","PriceCharting")</x:f>
        <x:v>PriceCharting</x:v>
      </x:c>
      <x:c r="AQ326" s="9"/>
      <x:c r="AR326" s="9"/>
      <x:c r="AS326" s="9"/>
      <x:c r="AT326" s="9"/>
      <x:c r="AU326" s="9"/>
      <x:c r="AV326" s="9"/>
      <x:c r="AW326" s="9"/>
      <x:c r="AX326" s="9"/>
      <x:c r="AY326" s="9"/>
      <x:c r="AZ326" s="9"/>
      <x:c r="BA326" s="11" t="str">
        <x:f>HYPERLINK("https://www.mobygames.com/search/?q=Thunder+Storm+%26+Road+Blaster","MobyGames")</x:f>
        <x:v>MobyGames</x:v>
      </x:c>
      <x:c r="BB326" s="9" t="str">
        <x:v>62%</x:v>
      </x:c>
      <x:c r="BC326" s="9" t="str">
        <x:v>average of 1 review on Wikipedia (Fam)</x:v>
      </x:c>
      <x:c r="BD326" s="9" t="str">
        <x:f>HYPERLINK("https://en.wikipedia.org/wiki/Road_Blaster","Source")</x:f>
        <x:v>Source</x:v>
      </x:c>
      <x:c r="BE326" s="11" t="str">
        <x:f>HYPERLINK("https://en.wikipedia.org/wiki/Road_Blaster","Wikipedia")</x:f>
        <x:v>Wikipedia</x:v>
      </x:c>
      <x:c r="BF326" s="11" t="str">
        <x:f>HYPERLINK("https://backloggd.com/search/games/Thunder%20Storm%20%26%20Road%20Blaster/","Backloggd")</x:f>
        <x:v>Backloggd</x:v>
      </x:c>
      <x:c r="BG326" s="11" t="str">
        <x:f>HYPERLINK("https://segaretro.org/Thunderstorm_%26_Road_Blaster","Sega Retro")</x:f>
        <x:v>Sega Retro</x:v>
      </x:c>
      <x:c r="BH326" s="9"/>
      <x:c r="BI326" s="12" t="str">
        <x:v>No</x:v>
      </x:c>
      <x:c r="BJ326" s="12" t="str"/>
      <x:c r="BK326" s="12" t="str">
        <x:v>No</x:v>
      </x:c>
      <x:c r="BL326" s="12" t="str"/>
      <x:c r="BM326" s="12" t="str"/>
      <x:c r="BN326" s="12" t="str"/>
      <x:c r="BO326" s="12" t="str"/>
      <x:c r="BP326" s="12" t="str"/>
      <x:c r="BQ326" s="12" t="str"/>
    </x:row>
    <x:row r="327">
      <x:c r="A327" s="9" t="str">
        <x:v>saturn-6</x:v>
      </x:c>
      <x:c r="B327" s="9" t="str">
        <x:v>area-51</x:v>
      </x:c>
      <x:c r="C327" s="9" t="str">
        <x:v>Sega Saturn</x:v>
      </x:c>
      <x:c r="D327" s="9" t="str">
        <x:v>Area 51</x:v>
      </x:c>
      <x:c r="E327" s="9" t="str">
        <x:v>エリア51</x:v>
      </x:c>
      <x:c r="F327" s="9" t="str">
        <x:v>Mesa Logic (arcade); home ports by Tantalus and Perfect Entertainment</x:v>
      </x:c>
      <x:c r="G327" s="9" t="str">
        <x:v>Midway Home Entertainment (NA); GT Interactive (EU); JP publisher verify</x:v>
      </x:c>
      <x:c r="H327" s="9" t="n">
        <x:v>1996</x:v>
      </x:c>
      <x:c r="I327" s="9" t="str">
        <x:v>Yes</x:v>
      </x:c>
      <x:c r="J327" s="9" t="str">
        <x:v>Yes</x:v>
      </x:c>
      <x:c r="K327" s="9" t="str">
        <x:v>Yes</x:v>
      </x:c>
      <x:c r="L327" s="9" t="str">
        <x:v>No</x:v>
      </x:c>
      <x:c r="M327" s="9" t="str">
        <x:v>Light-gun rail shooter</x:v>
      </x:c>
      <x:c r="N327" s="9" t="str">
        <x:v>Pre-rendered CG + digitised actors</x:v>
      </x:c>
      <x:c r="O327" s="9" t="n">
        <x:v>8</x:v>
      </x:c>
      <x:c r="P327" s="9" t="str">
        <x:v>Pre-rendered CG</x:v>
      </x:c>
      <x:c r="Q327" s="9" t="str">
        <x:v>Released</x:v>
      </x:c>
      <x:c r="R327" s="9" t="str">
        <x:v>Arcade (Atari Games, 1995)</x:v>
      </x:c>
      <x:c r="S327" s="9" t="str">
        <x:v>Arcade, PlayStation, PC</x:v>
      </x:c>
      <x:c r="T327" s="9" t="str">
        <x:v>Unknown — verify</x:v>
      </x:c>
      <x:c r="U327" s="9" t="n">
        <x:v>1</x:v>
      </x:c>
      <x:c r="V327" s="9" t="str">
        <x:v>No</x:v>
      </x:c>
      <x:c r="W327" s="9" t="str">
        <x:v>Supports all Saturn light guns (Stunner / Virtua Gun)</x:v>
      </x:c>
      <x:c r="X327" s="9" t="str">
        <x:v>Low</x:v>
      </x:c>
      <x:c r="Y327" s="9" t="str"/>
      <x:c r="Z327" s="9" t="str">
        <x:v>30–45 min</x:v>
      </x:c>
      <x:c r="AA327" s="9" t="str">
        <x:v>Streamed pre-rendered backgrounds with digitised alien and zombie sprites: a mid-90s arcade light-gun hit on Saturn.</x:v>
      </x:c>
      <x:c r="AB327" s="9" t="str">
        <x:v>None known</x:v>
      </x:c>
      <x:c r="AC327" s="9" t="str">
        <x:v>Streamed pre-rendered backgrounds with digitised video sprites; the Saturn version has a border covering about 15% of the screen (PlayStation is full-screen)</x:v>
      </x:c>
      <x:c r="AD327" s="9" t="str">
        <x:v>Easy with a gun; many secret rooms reward replay</x:v>
      </x:c>
      <x:c r="AE327" s="9" t="str">
        <x:v>One ending; secret areas branch the route</x:v>
      </x:c>
      <x:c r="AF327" s="9" t="str">
        <x:v>Area 51's moving backgrounds are streamed pre-rendered video, with digitised actors as sprites on top.</x:v>
      </x:c>
      <x:c r="AG327" s="9" t="str">
        <x:v>NA, PAL, JP (verify JP)</x:v>
      </x:c>
      <x:c r="AH327" s="9" t="str">
        <x:v>No</x:v>
      </x:c>
      <x:c r="AI327" s="9" t="str">
        <x:v>Easy</x:v>
      </x:c>
      <x:c r="AJ327" s="9"/>
      <x:c r="AK327" s="9" t="str">
        <x:v>Saturn port released 1996 by Midway. fmv 8 (video backgrounds drive all play but this is a conventional gun game). Reviews were middling, unfavourably compared with Virtua Cop 2 and knocked for grainy FMV and borders. PAL publisher GT Interactive, EU release 14 March 1997 (Wikipedia); JP release needs checking (verify). Sega Retro blocked the fetch; MobyGames scores not visible.</x:v>
      </x:c>
      <x:c r="AL327" s="10" t="n">
        <x:v>26.83</x:v>
      </x:c>
      <x:c r="AM327" s="10" t="n">
        <x:v>50</x:v>
      </x:c>
      <x:c r="AN327" s="10" t="n">
        <x:v>55.01</x:v>
      </x:c>
      <x:c r="AO327" s="9" t="str">
        <x:v>2026-10-21</x:v>
      </x:c>
      <x:c r="AP327" s="11" t="str">
        <x:f>HYPERLINK("https://www.pricecharting.com/game/sega-saturn/area-51","PriceCharting")</x:f>
        <x:v>PriceCharting</x:v>
      </x:c>
      <x:c r="AQ327" s="9"/>
      <x:c r="AR327" s="9"/>
      <x:c r="AS327" s="9"/>
      <x:c r="AT327" s="9"/>
      <x:c r="AU327" s="9"/>
      <x:c r="AV327" s="9"/>
      <x:c r="AW327" s="9"/>
      <x:c r="AX327" s="9"/>
      <x:c r="AY327" s="9" t="str">
        <x:v>69%</x:v>
      </x:c>
      <x:c r="AZ327" s="9" t="str">
        <x:v>2.9</x:v>
      </x:c>
      <x:c r="BA327" s="11" t="str">
        <x:f>HYPERLINK("https://www.mobygames.com/search/?q=Area+51","MobyGames")</x:f>
        <x:v>MobyGames</x:v>
      </x:c>
      <x:c r="BB327" s="9" t="str">
        <x:v>70%</x:v>
      </x:c>
      <x:c r="BC327" s="9" t="str">
        <x:v>average of 5 reviews on Wikipedia (Allgame, EGM, GSpot, IGN, Sega Saturn Magazine)</x:v>
      </x:c>
      <x:c r="BD327" s="9" t="str">
        <x:f>HYPERLINK("https://en.wikipedia.org/wiki/Area_51_%281995_video_game%29","Source")</x:f>
        <x:v>Source</x:v>
      </x:c>
      <x:c r="BE327" s="11" t="str">
        <x:f>HYPERLINK("https://en.wikipedia.org/wiki/Area_51_(1995_video_game)","Wikipedia")</x:f>
        <x:v>Wikipedia</x:v>
      </x:c>
      <x:c r="BF327" s="11" t="str">
        <x:f>HYPERLINK("https://backloggd.com/search/games/Area%2051/","Backloggd")</x:f>
        <x:v>Backloggd</x:v>
      </x:c>
      <x:c r="BG327" s="9"/>
      <x:c r="BH327" s="9"/>
      <x:c r="BI327" s="12" t="str">
        <x:v>No</x:v>
      </x:c>
      <x:c r="BJ327" s="12" t="str"/>
      <x:c r="BK327" s="12" t="str">
        <x:v>No</x:v>
      </x:c>
      <x:c r="BL327" s="12" t="str"/>
      <x:c r="BM327" s="12" t="str"/>
      <x:c r="BN327" s="12" t="str"/>
      <x:c r="BO327" s="12" t="str"/>
      <x:c r="BP327" s="12" t="str"/>
      <x:c r="BQ327" s="12" t="str"/>
    </x:row>
    <x:row r="328">
      <x:c r="A328" s="9" t="str">
        <x:v>saturn-7</x:v>
      </x:c>
      <x:c r="B328" s="9" t="str">
        <x:v>maximum-force</x:v>
      </x:c>
      <x:c r="C328" s="9" t="str">
        <x:v>Sega Saturn</x:v>
      </x:c>
      <x:c r="D328" s="9" t="str">
        <x:v>Maximum Force</x:v>
      </x:c>
      <x:c r="E328" s="9" t="str"/>
      <x:c r="F328" s="9" t="str">
        <x:v>Mesa Logic (arcade, for Atari Games); Saturn port by Tantalus Interactive</x:v>
      </x:c>
      <x:c r="G328" s="9" t="str">
        <x:v>Midway (NA); GT Interactive (EU)</x:v>
      </x:c>
      <x:c r="H328" s="9" t="n">
        <x:v>1997</x:v>
      </x:c>
      <x:c r="I328" s="9" t="str">
        <x:v>Yes</x:v>
      </x:c>
      <x:c r="J328" s="9" t="str">
        <x:v>No</x:v>
      </x:c>
      <x:c r="K328" s="9" t="str">
        <x:v>Yes</x:v>
      </x:c>
      <x:c r="L328" s="9" t="str">
        <x:v>No</x:v>
      </x:c>
      <x:c r="M328" s="9" t="str">
        <x:v>Light-gun rail shooter</x:v>
      </x:c>
      <x:c r="N328" s="9" t="str">
        <x:v>Pre-rendered CG + digitised actors</x:v>
      </x:c>
      <x:c r="O328" s="9" t="n">
        <x:v>8</x:v>
      </x:c>
      <x:c r="P328" s="9" t="str">
        <x:v>Pre-rendered CG</x:v>
      </x:c>
      <x:c r="Q328" s="9" t="str">
        <x:v>Released</x:v>
      </x:c>
      <x:c r="R328" s="9" t="str">
        <x:v>Arcade (Atari Games, 1997)</x:v>
      </x:c>
      <x:c r="S328" s="9" t="str">
        <x:v>Arcade, PlayStation; Midway Arcade Treasures 3 / Area 51 + Maximum Force duo (verify)</x:v>
      </x:c>
      <x:c r="T328" s="9" t="str">
        <x:v>Unknown — verify</x:v>
      </x:c>
      <x:c r="U328" s="9" t="n">
        <x:v>1</x:v>
      </x:c>
      <x:c r="V328" s="9" t="str">
        <x:v>No</x:v>
      </x:c>
      <x:c r="W328" s="9" t="str">
        <x:v>Sega Stunner / Virtua Gun light gun supported</x:v>
      </x:c>
      <x:c r="X328" s="9" t="str">
        <x:v>Low</x:v>
      </x:c>
      <x:c r="Y328" s="9" t="str"/>
      <x:c r="Z328" s="9" t="str">
        <x:v>30 min</x:v>
      </x:c>
      <x:c r="AA328" s="9" t="str">
        <x:v>The Area 51 team's anti-terrorist follow-up: digitised live-action footage and sprites, with secret rooms everywhere.</x:v>
      </x:c>
      <x:c r="AB328" s="9" t="str">
        <x:v>None known</x:v>
      </x:c>
      <x:c r="AC328" s="9" t="str">
        <x:v>Smooth streamed pre-rendered 3D backgrounds with digitised video sprites</x:v>
      </x:c>
      <x:c r="AD328" s="9" t="str">
        <x:v>Easy with a gun; hostages to avoid</x:v>
      </x:c>
      <x:c r="AE328" s="9" t="str">
        <x:v>One ending; secret areas vary the route</x:v>
      </x:c>
      <x:c r="AF328" s="9" t="str">
        <x:v>Built on the same streamed-background tech as Area 51; Sega Saturn Magazine praised how smoothly the video backgrounds move.</x:v>
      </x:c>
      <x:c r="AG328" s="9" t="str">
        <x:v>NA, PAL</x:v>
      </x:c>
      <x:c r="AH328" s="9" t="str">
        <x:v>Yes (Midway Arcade Treasures 3, PS2/Xbox/GameCube — verify)</x:v>
      </x:c>
      <x:c r="AI328" s="9" t="str">
        <x:v>Easy</x:v>
      </x:c>
      <x:c r="AJ328" s="9"/>
      <x:c r="AK328" s="9" t="str">
        <x:v>Levels and vehicles are pre-rendered 3D with digitised video sprites (fmvType set accordingly). Reviews were mediocre: about 30 minutes long with no alternate routes. Regions and publishers not covered by the reference text (verify). Sega Retro blocked the fetch; MobyGames scores not visible.</x:v>
      </x:c>
      <x:c r="AL328" s="10" t="n">
        <x:v>46.8</x:v>
      </x:c>
      <x:c r="AM328" s="10" t="n">
        <x:v>82.95</x:v>
      </x:c>
      <x:c r="AN328" s="10" t="n">
        <x:v>93.25</x:v>
      </x:c>
      <x:c r="AO328" s="9" t="str">
        <x:v>2026-10-21</x:v>
      </x:c>
      <x:c r="AP328" s="11" t="str">
        <x:f>HYPERLINK("https://www.pricecharting.com/game/sega-saturn/maximum-force","PriceCharting")</x:f>
        <x:v>PriceCharting</x:v>
      </x:c>
      <x:c r="AQ328" s="9"/>
      <x:c r="AR328" s="9"/>
      <x:c r="AS328" s="9"/>
      <x:c r="AT328" s="9"/>
      <x:c r="AU328" s="9"/>
      <x:c r="AV328" s="9"/>
      <x:c r="AW328" s="9"/>
      <x:c r="AX328" s="9"/>
      <x:c r="AY328" s="9"/>
      <x:c r="AZ328" s="9" t="str">
        <x:v>3.1</x:v>
      </x:c>
      <x:c r="BA328" s="11" t="str">
        <x:f>HYPERLINK("https://www.mobygames.com/search/?q=Maximum+Force","MobyGames")</x:f>
        <x:v>MobyGames</x:v>
      </x:c>
      <x:c r="BB328" s="9" t="str">
        <x:v>47%</x:v>
      </x:c>
      <x:c r="BC328" s="9" t="str">
        <x:v>GameRankings, 2 reviews</x:v>
      </x:c>
      <x:c r="BD328" s="9" t="str">
        <x:f>HYPERLINK("https://web.archive.org/web/20191209015823id_/https://www.gamerankings.com/saturn/197877-maximum-force/","Source")</x:f>
        <x:v>Source</x:v>
      </x:c>
      <x:c r="BE328" s="11" t="str">
        <x:f>HYPERLINK("https://en.wikipedia.org/wiki/Maximum_Force_(video_game)","Wikipedia")</x:f>
        <x:v>Wikipedia</x:v>
      </x:c>
      <x:c r="BF328" s="11" t="str">
        <x:f>HYPERLINK("https://backloggd.com/search/games/Maximum%20Force/","Backloggd")</x:f>
        <x:v>Backloggd</x:v>
      </x:c>
      <x:c r="BG328" s="9"/>
      <x:c r="BH328" s="9"/>
      <x:c r="BI328" s="12" t="str">
        <x:v>No</x:v>
      </x:c>
      <x:c r="BJ328" s="12" t="str"/>
      <x:c r="BK328" s="12" t="str">
        <x:v>No</x:v>
      </x:c>
      <x:c r="BL328" s="12" t="str"/>
      <x:c r="BM328" s="12" t="str"/>
      <x:c r="BN328" s="12" t="str"/>
      <x:c r="BO328" s="12" t="str"/>
      <x:c r="BP328" s="12" t="str"/>
      <x:c r="BQ328" s="12" t="str"/>
    </x:row>
    <x:row r="329">
      <x:c r="A329" s="9" t="str">
        <x:v>saturn-8</x:v>
      </x:c>
      <x:c r="B329" s="9" t="str">
        <x:v>cyberia</x:v>
      </x:c>
      <x:c r="C329" s="9" t="str">
        <x:v>Sega Saturn</x:v>
      </x:c>
      <x:c r="D329" s="9" t="str">
        <x:v>Cyberia</x:v>
      </x:c>
      <x:c r="E329" s="9" t="str">
        <x:v>サイベリア</x:v>
      </x:c>
      <x:c r="F329" s="9" t="str">
        <x:v>Xatrix Entertainment</x:v>
      </x:c>
      <x:c r="G329" s="9" t="str">
        <x:v>Interplay (NA/EU); Japanese publisher verify</x:v>
      </x:c>
      <x:c r="H329" s="9" t="n">
        <x:v>1996</x:v>
      </x:c>
      <x:c r="I329" s="9" t="str">
        <x:v>Yes</x:v>
      </x:c>
      <x:c r="J329" s="9" t="str">
        <x:v>Yes</x:v>
      </x:c>
      <x:c r="K329" s="9" t="str">
        <x:v>Yes</x:v>
      </x:c>
      <x:c r="L329" s="9" t="str">
        <x:v>No</x:v>
      </x:c>
      <x:c r="M329" s="9" t="str">
        <x:v>Rail shooter / puzzle adventure</x:v>
      </x:c>
      <x:c r="N329" s="9" t="str">
        <x:v>Pre-rendered CG</x:v>
      </x:c>
      <x:c r="O329" s="9" t="n">
        <x:v>7</x:v>
      </x:c>
      <x:c r="P329" s="9" t="str">
        <x:v>Pre-rendered CG</x:v>
      </x:c>
      <x:c r="Q329" s="9" t="str">
        <x:v>Released</x:v>
      </x:c>
      <x:c r="R329" s="9" t="str">
        <x:v>PC original (Xatrix/Interplay, 1994)</x:v>
      </x:c>
      <x:c r="S329" s="9" t="str">
        <x:v>PC, PlayStation</x:v>
      </x:c>
      <x:c r="T329" s="9" t="str">
        <x:v>Unknown — verify</x:v>
      </x:c>
      <x:c r="U329" s="9" t="n">
        <x:v>1</x:v>
      </x:c>
      <x:c r="V329" s="9" t="str">
        <x:v>Yes</x:v>
      </x:c>
      <x:c r="W329" s="9" t="str">
        <x:v>Control pad, Saturn mouse and Mission Stick supported</x:v>
      </x:c>
      <x:c r="X329" s="9" t="str">
        <x:v>Low</x:v>
      </x:c>
      <x:c r="Y329" s="9" t="str"/>
      <x:c r="Z329" s="9" t="str">
        <x:v>3–5 hr</x:v>
      </x:c>
      <x:c r="AA329" s="9" t="str">
        <x:v>A cyberpunk mix of pre-rendered flight-shooter runs and puzzle rooms, scored by Thomas Dolby (verify).</x:v>
      </x:c>
      <x:c r="AB329" s="9" t="str">
        <x:v>None known</x:v>
      </x:c>
      <x:c r="AC329" s="9" t="str">
        <x:v>Streamed pre-rendered CG; Saturn window/fps unconfirmed (verify)</x:v>
      </x:c>
      <x:c r="AD329" s="9" t="str">
        <x:v>Hard puzzles and unforgiving shooter sections</x:v>
      </x:c>
      <x:c r="AE329" s="9" t="str">
        <x:v>One ending</x:v>
      </x:c>
      <x:c r="AF329" s="9" t="str">
        <x:v>Xatrix later made Redneck Rampage and Kingpin.</x:v>
      </x:c>
      <x:c r="AG329" s="9" t="str">
        <x:v>NA, PAL, JP (verify JP)</x:v>
      </x:c>
      <x:c r="AH329" s="9" t="str">
        <x:v>No</x:v>
      </x:c>
      <x:c r="AI329" s="9" t="str">
        <x:v>Easy</x:v>
      </x:c>
      <x:c r="AJ329" s="9"/>
      <x:c r="AK329" s="9" t="str">
        <x:v>Saturn version 1996; Next Generation said all four console/PC versions were 'exactly' alike. A Sega Saturn Magazine review supports the PAL release. Thomas Dolby soundtrack credit from memory (verify). JP Saturn release 16 February 1996 (Wikipedia); JP publisher not confirmed (verify). Sega Retro blocked the fetch; MobyGames scores not visible.</x:v>
      </x:c>
      <x:c r="AL329" s="10" t="n">
        <x:v>12.99</x:v>
      </x:c>
      <x:c r="AM329" s="10" t="n">
        <x:v>26.99</x:v>
      </x:c>
      <x:c r="AN329" s="10" t="n">
        <x:v>61</x:v>
      </x:c>
      <x:c r="AO329" s="9" t="str">
        <x:v>2026-10-21</x:v>
      </x:c>
      <x:c r="AP329" s="11" t="str">
        <x:f>HYPERLINK("https://www.pricecharting.com/game/sega-saturn/cyberia","PriceCharting")</x:f>
        <x:v>PriceCharting</x:v>
      </x:c>
      <x:c r="AQ329" s="9"/>
      <x:c r="AR329" s="9"/>
      <x:c r="AS329" s="9"/>
      <x:c r="AT329" s="9"/>
      <x:c r="AU329" s="9"/>
      <x:c r="AV329" s="9"/>
      <x:c r="AW329" s="9"/>
      <x:c r="AX329" s="9"/>
      <x:c r="AY329" s="9" t="str">
        <x:v>73%</x:v>
      </x:c>
      <x:c r="AZ329" s="9"/>
      <x:c r="BA329" s="11" t="str">
        <x:f>HYPERLINK("https://www.mobygames.com/search/?q=Cyberia","MobyGames")</x:f>
        <x:v>MobyGames</x:v>
      </x:c>
      <x:c r="BB329" s="9" t="str">
        <x:v>71%</x:v>
      </x:c>
      <x:c r="BC329" s="9" t="str">
        <x:v>average of 2 reviews on Wikipedia (Maximum, Sega Saturn Magazine)</x:v>
      </x:c>
      <x:c r="BD329" s="9" t="str">
        <x:f>HYPERLINK("https://en.wikipedia.org/wiki/Cyberia_%28video_game%29","Source")</x:f>
        <x:v>Source</x:v>
      </x:c>
      <x:c r="BE329" s="11" t="str">
        <x:f>HYPERLINK("https://en.wikipedia.org/wiki/Cyberia_(video_game)","Wikipedia")</x:f>
        <x:v>Wikipedia</x:v>
      </x:c>
      <x:c r="BF329" s="11" t="str">
        <x:f>HYPERLINK("https://backloggd.com/search/games/Cyberia/","Backloggd")</x:f>
        <x:v>Backloggd</x:v>
      </x:c>
      <x:c r="BG329" s="9"/>
      <x:c r="BH329" s="9"/>
      <x:c r="BI329" s="12" t="str">
        <x:v>No</x:v>
      </x:c>
      <x:c r="BJ329" s="12" t="str"/>
      <x:c r="BK329" s="12" t="str">
        <x:v>No</x:v>
      </x:c>
      <x:c r="BL329" s="12" t="str"/>
      <x:c r="BM329" s="12" t="str"/>
      <x:c r="BN329" s="12" t="str"/>
      <x:c r="BO329" s="12" t="str"/>
      <x:c r="BP329" s="12" t="str"/>
      <x:c r="BQ329" s="12" t="str"/>
    </x:row>
    <x:row r="330">
      <x:c r="A330" s="9" t="str">
        <x:v>saturn-9</x:v>
      </x:c>
      <x:c r="B330" s="9" t="str">
        <x:v>street-fighter-ii-movie</x:v>
      </x:c>
      <x:c r="C330" s="9" t="str">
        <x:v>Sega Saturn</x:v>
      </x:c>
      <x:c r="D330" s="9" t="str">
        <x:v>Street Fighter II Movie</x:v>
      </x:c>
      <x:c r="E330" s="9" t="str">
        <x:v>ストリートファイターII MOVIE; Street Fighter II: The Interactive Movie</x:v>
      </x:c>
      <x:c r="F330" s="9" t="str">
        <x:v>Capcom</x:v>
      </x:c>
      <x:c r="G330" s="9" t="str">
        <x:v>Capcom (JP)</x:v>
      </x:c>
      <x:c r="H330" s="9" t="n">
        <x:v>1996</x:v>
      </x:c>
      <x:c r="I330" s="9" t="str">
        <x:v>No</x:v>
      </x:c>
      <x:c r="J330" s="9" t="str">
        <x:v>Yes</x:v>
      </x:c>
      <x:c r="K330" s="9" t="str">
        <x:v>No</x:v>
      </x:c>
      <x:c r="L330" s="9" t="str">
        <x:v>No</x:v>
      </x:c>
      <x:c r="M330" s="9" t="str">
        <x:v>Interactive movie</x:v>
      </x:c>
      <x:c r="N330" s="9" t="str">
        <x:v>Animated</x:v>
      </x:c>
      <x:c r="O330" s="9" t="n">
        <x:v>10</x:v>
      </x:c>
      <x:c r="P330" s="9" t="str">
        <x:v>Interactive movie</x:v>
      </x:c>
      <x:c r="Q330" s="9" t="str">
        <x:v>Released</x:v>
      </x:c>
      <x:c r="R330" s="9" t="str">
        <x:v>Film licence: Street Fighter II: The Animated Movie (1994)</x:v>
      </x:c>
      <x:c r="S330" s="9" t="str">
        <x:v>PlayStation (Japan)</x:v>
      </x:c>
      <x:c r="T330" s="9" t="str">
        <x:v>Footage from the 1994 film (Japanese voice cast)</x:v>
      </x:c>
      <x:c r="U330" s="9" t="str">
        <x:v>Unknown — verify</x:v>
      </x:c>
      <x:c r="V330" s="9" t="str">
        <x:v>Unknown — verify</x:v>
      </x:c>
      <x:c r="W330" s="9" t="str">
        <x:v>Standard control pad</x:v>
      </x:c>
      <x:c r="X330" s="9" t="str">
        <x:v>HIGH</x:v>
      </x:c>
      <x:c r="Y330" s="9" t="str">
        <x:v>Footage and music from Street Fighter II: The Animated Movie</x:v>
      </x:c>
      <x:c r="Z330" s="9" t="str">
        <x:v>2–3 hr</x:v>
      </x:c>
      <x:c r="AA330" s="9" t="str">
        <x:v>You are a Shadaloo cyborg scanning fighters in clips from the 1994 anime film, a Capcom oddity that never left Japan.</x:v>
      </x:c>
      <x:c r="AB330" s="9" t="str">
        <x:v>None known</x:v>
      </x:c>
      <x:c r="AC330" s="9" t="str">
        <x:v>Full-screen anime clips (verify fps)</x:v>
      </x:c>
      <x:c r="AD330" s="9" t="str">
        <x:v>Easy; scanning and choice prompts</x:v>
      </x:c>
      <x:c r="AE330" s="9" t="str">
        <x:v>Linear (verify)</x:v>
      </x:c>
      <x:c r="AF330" s="9" t="str">
        <x:v>You play a Shadowlaw monitor cyborg, clicking points of interest in film footage to learn fighters' moves, ending in a Super Street Fighter II Turbo-style bout with Ryu. Not the same game as Street Fighter: The Movie.</x:v>
      </x:c>
      <x:c r="AG330" s="9" t="str">
        <x:v>Japan only</x:v>
      </x:c>
      <x:c r="AH330" s="9" t="str">
        <x:v>No</x:v>
      </x:c>
      <x:c r="AI330" s="9" t="str">
        <x:v>Import</x:v>
      </x:c>
      <x:c r="AJ330" s="9"/>
      <x:c r="AK330" s="9" t="str">
        <x:v>Japan only: PlayStation Dec 15, 1995; Saturn Mar 15, 1996 (Wikipedia). Shown at E3 1995 as Street Fighter II: The Interactive Movie. Disc count (likely 2) unconfirmed (verify). The US PriceCharting 'street-fighter-the-movie' page is the different live-action game; not used. JP PriceCharting URL is a guessed slug; no price.</x:v>
      </x:c>
      <x:c r="AL330" s="10" t="n">
        <x:v>21.5</x:v>
      </x:c>
      <x:c r="AM330" s="10" t="n">
        <x:v>49.41</x:v>
      </x:c>
      <x:c r="AN330" s="10" t="n">
        <x:v>84</x:v>
      </x:c>
      <x:c r="AO330" s="9" t="str">
        <x:v>2026-10-21</x:v>
      </x:c>
      <x:c r="AP330" s="11" t="str">
        <x:f>HYPERLINK("https://www.pricecharting.com/game/jp-sega-saturn/street-fighter-ii-movie","PriceCharting")</x:f>
        <x:v>PriceCharting</x:v>
      </x:c>
      <x:c r="AQ330" s="9"/>
      <x:c r="AR330" s="9"/>
      <x:c r="AS330" s="9"/>
      <x:c r="AT330" s="9"/>
      <x:c r="AU330" s="9"/>
      <x:c r="AV330" s="9"/>
      <x:c r="AW330" s="9"/>
      <x:c r="AX330" s="9"/>
      <x:c r="AY330" s="9"/>
      <x:c r="AZ330" s="9"/>
      <x:c r="BA330" s="11" t="str">
        <x:f>HYPERLINK("https://www.mobygames.com/search/?q=Street+Fighter+II+Movie","MobyGames")</x:f>
        <x:v>MobyGames</x:v>
      </x:c>
      <x:c r="BB330" s="9" t="str">
        <x:v>58%</x:v>
      </x:c>
      <x:c r="BC330" s="9" t="str">
        <x:v>GameRankings, 2 reviews</x:v>
      </x:c>
      <x:c r="BD330" s="9" t="str">
        <x:f>HYPERLINK("https://web.archive.org/web/20191209014648id_/https://www.gamerankings.com/saturn/576015-street-fighter-ii-movie/","Source")</x:f>
        <x:v>Source</x:v>
      </x:c>
      <x:c r="BE330" s="11" t="str">
        <x:f>HYPERLINK("https://en.wikipedia.org/wiki/Street_Fighter_II:_The_Animated_Movie","Wikipedia")</x:f>
        <x:v>Wikipedia</x:v>
      </x:c>
      <x:c r="BF330" s="11" t="str">
        <x:f>HYPERLINK("https://backloggd.com/search/games/Street%20Fighter%20II%20Movie/","Backloggd")</x:f>
        <x:v>Backloggd</x:v>
      </x:c>
      <x:c r="BG330" s="9"/>
      <x:c r="BH330" s="9"/>
      <x:c r="BI330" s="12" t="str">
        <x:v>No</x:v>
      </x:c>
      <x:c r="BJ330" s="12" t="str"/>
      <x:c r="BK330" s="12" t="str">
        <x:v>No</x:v>
      </x:c>
      <x:c r="BL330" s="12" t="str"/>
      <x:c r="BM330" s="12" t="str"/>
      <x:c r="BN330" s="12" t="str"/>
      <x:c r="BO330" s="12" t="str"/>
      <x:c r="BP330" s="12" t="str"/>
      <x:c r="BQ330" s="12" t="str"/>
    </x:row>
    <x:row r="331">
      <x:c r="A331" s="9" t="str">
        <x:v>saturn-10</x:v>
      </x:c>
      <x:c r="B331" s="9" t="str">
        <x:v>quarterback-attack-with-mike-ditka</x:v>
      </x:c>
      <x:c r="C331" s="9" t="str">
        <x:v>Sega Saturn</x:v>
      </x:c>
      <x:c r="D331" s="9" t="str">
        <x:v>Quarterback Attack with Mike Ditka</x:v>
      </x:c>
      <x:c r="E331" s="9" t="str"/>
      <x:c r="F331" s="9" t="str">
        <x:v>Digital Pictures</x:v>
      </x:c>
      <x:c r="G331" s="9" t="str">
        <x:v>Digital Pictures</x:v>
      </x:c>
      <x:c r="H331" s="9" t="n">
        <x:v>1995</x:v>
      </x:c>
      <x:c r="I331" s="9" t="str">
        <x:v>Yes</x:v>
      </x:c>
      <x:c r="J331" s="9" t="str">
        <x:v>No</x:v>
      </x:c>
      <x:c r="K331" s="9" t="str">
        <x:v>No</x:v>
      </x:c>
      <x:c r="L331" s="9" t="str">
        <x:v>No</x:v>
      </x:c>
      <x:c r="M331" s="9" t="str">
        <x:v>FMV American football</x:v>
      </x:c>
      <x:c r="N331" s="9" t="str">
        <x:v>Live-action</x:v>
      </x:c>
      <x:c r="O331" s="9" t="n">
        <x:v>10</x:v>
      </x:c>
      <x:c r="P331" s="9" t="str">
        <x:v>Digital Pictures</x:v>
      </x:c>
      <x:c r="Q331" s="9" t="str">
        <x:v>Released</x:v>
      </x:c>
      <x:c r="R331" s="9" t="str">
        <x:v>Original production (Digital Pictures, 1995)</x:v>
      </x:c>
      <x:c r="S331" s="9" t="str">
        <x:v>3DO, PC, Mac</x:v>
      </x:c>
      <x:c r="T331" s="9" t="str">
        <x:v>Mike Ditka</x:v>
      </x:c>
      <x:c r="U331" s="9" t="n">
        <x:v>1</x:v>
      </x:c>
      <x:c r="V331" s="9" t="str">
        <x:v>Unknown — verify</x:v>
      </x:c>
      <x:c r="W331" s="9" t="str">
        <x:v>Standard control pad</x:v>
      </x:c>
      <x:c r="X331" s="9" t="str">
        <x:v>Low</x:v>
      </x:c>
      <x:c r="Y331" s="9" t="str"/>
      <x:c r="Z331" s="9" t="str">
        <x:v>1–2 hr (season length varies)</x:v>
      </x:c>
      <x:c r="AA331" s="9" t="str">
        <x:v>First-person quarterbacking through live-action video while Mike Ditka coaches, peak Digital Pictures.</x:v>
      </x:c>
      <x:c r="AB331" s="9" t="str">
        <x:v>None known</x:v>
      </x:c>
      <x:c r="AC331" s="9" t="str">
        <x:v>Full-screen first-person live-action video (verify fps)</x:v>
      </x:c>
      <x:c r="AD331" s="9" t="str">
        <x:v>Moderate; read the defence and pick receivers in time</x:v>
      </x:c>
      <x:c r="AE331" s="9" t="str">
        <x:v>Season-based; no story ending (verify)</x:v>
      </x:c>
      <x:c r="AF331" s="9" t="str">
        <x:v>Made on a $2 million budget with two weeks of filming; you play only the quarterback, with the rest of the team in video. Footage was reused in the 2003 film Game Over.</x:v>
      </x:c>
      <x:c r="AG331" s="9" t="str">
        <x:v>NA only (verify PAL)</x:v>
      </x:c>
      <x:c r="AH331" s="9" t="str">
        <x:v>No</x:v>
      </x:c>
      <x:c r="AI331" s="9" t="str">
        <x:v>Easy</x:v>
      </x:c>
      <x:c r="AJ331" s="9"/>
      <x:c r="AK331" s="9" t="str">
        <x:v>Saturn release 1995 by Digital Pictures confirmed. Next Generation liked the pace but called the video subpar by Saturn standards. Category Digital Pictures used rather than Sports w/ FMV. PAL release not known (verify). PriceCharting US page confirmed (prices pulled).</x:v>
      </x:c>
      <x:c r="AL331" s="10" t="n">
        <x:v>8.59</x:v>
      </x:c>
      <x:c r="AM331" s="10" t="n">
        <x:v>15</x:v>
      </x:c>
      <x:c r="AN331" s="10" t="n">
        <x:v>27.03</x:v>
      </x:c>
      <x:c r="AO331" s="9" t="str">
        <x:v>2026-10-21</x:v>
      </x:c>
      <x:c r="AP331" s="11" t="str">
        <x:f>HYPERLINK("https://www.pricecharting.com/game/sega-saturn/quarterback-attack-with-mike-ditka","PriceCharting")</x:f>
        <x:v>PriceCharting</x:v>
      </x:c>
      <x:c r="AQ331" s="9"/>
      <x:c r="AR331" s="9"/>
      <x:c r="AS331" s="9"/>
      <x:c r="AT331" s="9"/>
      <x:c r="AU331" s="9"/>
      <x:c r="AV331" s="9"/>
      <x:c r="AW331" s="9"/>
      <x:c r="AX331" s="9"/>
      <x:c r="AY331" s="9"/>
      <x:c r="AZ331" s="9"/>
      <x:c r="BA331" s="11" t="str">
        <x:f>HYPERLINK("https://www.mobygames.com/search/?q=Quarterback+Attack+with+Mike+Ditka","MobyGames")</x:f>
        <x:v>MobyGames</x:v>
      </x:c>
      <x:c r="BB331" s="9" t="str">
        <x:v>66%</x:v>
      </x:c>
      <x:c r="BC331" s="9" t="str">
        <x:v>average of 2 reviews on Wikipedia (EGM, NGen)</x:v>
      </x:c>
      <x:c r="BD331" s="9" t="str">
        <x:f>HYPERLINK("https://en.wikipedia.org/wiki/Quarterback_Attack_with_Mike_Ditka","Source")</x:f>
        <x:v>Source</x:v>
      </x:c>
      <x:c r="BE331" s="11" t="str">
        <x:f>HYPERLINK("https://en.wikipedia.org/wiki/Quarterback_Attack_with_Mike_Ditka","Wikipedia")</x:f>
        <x:v>Wikipedia</x:v>
      </x:c>
      <x:c r="BF331" s="11" t="str">
        <x:f>HYPERLINK("https://backloggd.com/search/games/Quarterback%20Attack%20with%20Mike%20Ditka/","Backloggd")</x:f>
        <x:v>Backloggd</x:v>
      </x:c>
      <x:c r="BG331" s="9"/>
      <x:c r="BH331" s="9"/>
      <x:c r="BI331" s="12" t="str">
        <x:v>No</x:v>
      </x:c>
      <x:c r="BJ331" s="12" t="str"/>
      <x:c r="BK331" s="12" t="str">
        <x:v>No</x:v>
      </x:c>
      <x:c r="BL331" s="12" t="str"/>
      <x:c r="BM331" s="12" t="str"/>
      <x:c r="BN331" s="12" t="str"/>
      <x:c r="BO331" s="12" t="str"/>
      <x:c r="BP331" s="12" t="str"/>
      <x:c r="BQ331" s="12" t="str"/>
    </x:row>
    <x:row r="332">
      <x:c r="A332" s="9" t="str">
        <x:v>saturn-11</x:v>
      </x:c>
      <x:c r="B332" s="9" t="str">
        <x:v>shockwave-assault</x:v>
      </x:c>
      <x:c r="C332" s="9" t="str">
        <x:v>Sega Saturn</x:v>
      </x:c>
      <x:c r="D332" s="9" t="str">
        <x:v>Shockwave Assault</x:v>
      </x:c>
      <x:c r="E332" s="9" t="str"/>
      <x:c r="F332" s="9" t="str">
        <x:v>Advanced Technology Group (EA); Saturn version by Paradox Development</x:v>
      </x:c>
      <x:c r="G332" s="9" t="str">
        <x:v>Electronic Arts</x:v>
      </x:c>
      <x:c r="H332" s="9" t="n">
        <x:v>1996</x:v>
      </x:c>
      <x:c r="I332" s="9" t="str">
        <x:v>Yes</x:v>
      </x:c>
      <x:c r="J332" s="9" t="str">
        <x:v>No</x:v>
      </x:c>
      <x:c r="K332" s="9" t="str">
        <x:v>Yes</x:v>
      </x:c>
      <x:c r="L332" s="9" t="str">
        <x:v>No</x:v>
      </x:c>
      <x:c r="M332" s="9" t="str">
        <x:v>3D flight shooter</x:v>
      </x:c>
      <x:c r="N332" s="9" t="str">
        <x:v>Live-action + CG</x:v>
      </x:c>
      <x:c r="O332" s="9" t="n">
        <x:v>4</x:v>
      </x:c>
      <x:c r="P332" s="9" t="str">
        <x:v>Cutscenes only</x:v>
      </x:c>
      <x:c r="Q332" s="9" t="str">
        <x:v>Released</x:v>
      </x:c>
      <x:c r="R332" s="9" t="str">
        <x:v>3DO originals Shockwave (1994) + Operation Jumpgate expansion</x:v>
      </x:c>
      <x:c r="S332" s="9" t="str">
        <x:v>3DO, PlayStation, PC, Mac, Pippin</x:v>
      </x:c>
      <x:c r="T332" s="9" t="str">
        <x:v>Unknown — verify</x:v>
      </x:c>
      <x:c r="U332" s="9" t="n">
        <x:v>1</x:v>
      </x:c>
      <x:c r="V332" s="9" t="str">
        <x:v>Unknown — verify</x:v>
      </x:c>
      <x:c r="W332" s="9" t="str">
        <x:v>Standard control pad</x:v>
      </x:c>
      <x:c r="X332" s="9" t="str">
        <x:v>Low</x:v>
      </x:c>
      <x:c r="Y332" s="9" t="str"/>
      <x:c r="Z332" s="9" t="str">
        <x:v>4–6 hr</x:v>
      </x:c>
      <x:c r="AA332" s="9" t="str">
        <x:v>EA's 3DO alien-invasion shooter plus its expansion, held together by live-action briefings from a space station crew.</x:v>
      </x:c>
      <x:c r="AB332" s="9" t="str">
        <x:v>None known</x:v>
      </x:c>
      <x:c r="AC332" s="9" t="str">
        <x:v>Live-action briefings between missions (verify size)</x:v>
      </x:c>
      <x:c r="AD332" s="9" t="str">
        <x:v>Moderate to hard</x:v>
      </x:c>
      <x:c r="AE332" s="9" t="str">
        <x:v>One ending</x:v>
      </x:c>
      <x:c r="AF332" s="9" t="str">
        <x:v>Bundles the original Shockwave and the Operation Jumpgate expansion.</x:v>
      </x:c>
      <x:c r="AG332" s="9" t="str">
        <x:v>NA (verify PAL)</x:v>
      </x:c>
      <x:c r="AH332" s="9" t="str">
        <x:v>No</x:v>
      </x:c>
      <x:c r="AI332" s="9" t="str">
        <x:v>Easy</x:v>
      </x:c>
      <x:c r="AJ332" s="9"/>
      <x:c r="AK332" s="9" t="str">
        <x:v>PriceCharting US page confirmed. fmv 4 for substantial live-action story video around a conventional shooter; category set to Cutscenes only (verify). The fetched Wikipedia page was an unrelated NES game, so nothing here is confirmed by reference text; urlWiki cleared.</x:v>
      </x:c>
      <x:c r="AL332" s="10" t="n">
        <x:v>22.45</x:v>
      </x:c>
      <x:c r="AM332" s="10" t="n">
        <x:v>30.12</x:v>
      </x:c>
      <x:c r="AN332" s="10" t="n">
        <x:v>51</x:v>
      </x:c>
      <x:c r="AO332" s="9" t="str">
        <x:v>2026-10-21</x:v>
      </x:c>
      <x:c r="AP332" s="11" t="str">
        <x:f>HYPERLINK("https://www.pricecharting.com/game/sega-saturn/shockwave-assault","PriceCharting")</x:f>
        <x:v>PriceCharting</x:v>
      </x:c>
      <x:c r="AQ332" s="9"/>
      <x:c r="AR332" s="9"/>
      <x:c r="AS332" s="9"/>
      <x:c r="AT332" s="9"/>
      <x:c r="AU332" s="9"/>
      <x:c r="AV332" s="9"/>
      <x:c r="AW332" s="9"/>
      <x:c r="AX332" s="9"/>
      <x:c r="AY332" s="9"/>
      <x:c r="AZ332" s="9"/>
      <x:c r="BA332" s="11" t="str">
        <x:f>HYPERLINK("https://www.mobygames.com/search/?q=Shockwave+Assault","MobyGames")</x:f>
        <x:v>MobyGames</x:v>
      </x:c>
      <x:c r="BB332" s="9" t="str">
        <x:v>49%</x:v>
      </x:c>
      <x:c r="BC332" s="9" t="str">
        <x:v>average of 2 reviews on Wikipedia (EGM, Sega Saturn Magazine)</x:v>
      </x:c>
      <x:c r="BD332" s="9" t="str">
        <x:f>HYPERLINK("https://en.wikipedia.org/wiki/Shockwave_Assault","Source")</x:f>
        <x:v>Source</x:v>
      </x:c>
      <x:c r="BE332" s="9"/>
      <x:c r="BF332" s="11" t="str">
        <x:f>HYPERLINK("https://backloggd.com/search/games/Shockwave%20Assault/","Backloggd")</x:f>
        <x:v>Backloggd</x:v>
      </x:c>
      <x:c r="BG332" s="9"/>
      <x:c r="BH332" s="9"/>
      <x:c r="BI332" s="12" t="str">
        <x:v>No</x:v>
      </x:c>
      <x:c r="BJ332" s="12" t="str"/>
      <x:c r="BK332" s="12" t="str">
        <x:v>No</x:v>
      </x:c>
      <x:c r="BL332" s="12" t="str"/>
      <x:c r="BM332" s="12" t="str"/>
      <x:c r="BN332" s="12" t="str"/>
      <x:c r="BO332" s="12" t="str"/>
      <x:c r="BP332" s="12" t="str"/>
      <x:c r="BQ332" s="12" t="str"/>
    </x:row>
    <x:row r="333">
      <x:c r="A333" s="9" t="str">
        <x:v>saturn-12</x:v>
      </x:c>
      <x:c r="B333" s="9" t="str">
        <x:v>myst</x:v>
      </x:c>
      <x:c r="C333" s="9" t="str">
        <x:v>Sega Saturn</x:v>
      </x:c>
      <x:c r="D333" s="9" t="str">
        <x:v>Myst</x:v>
      </x:c>
      <x:c r="E333" s="9" t="str"/>
      <x:c r="F333" s="9" t="str">
        <x:v>Cyan (original); Saturn conversion by Sunsoft</x:v>
      </x:c>
      <x:c r="G333" s="9" t="str">
        <x:v>Sunsoft (JP/EU); Acclaim Entertainment (NA)</x:v>
      </x:c>
      <x:c r="H333" s="9" t="n">
        <x:v>1994</x:v>
      </x:c>
      <x:c r="I333" s="9" t="str">
        <x:v>Yes</x:v>
      </x:c>
      <x:c r="J333" s="9" t="str">
        <x:v>Yes</x:v>
      </x:c>
      <x:c r="K333" s="9" t="str">
        <x:v>Yes</x:v>
      </x:c>
      <x:c r="L333" s="9" t="str">
        <x:v>No</x:v>
      </x:c>
      <x:c r="M333" s="9" t="str">
        <x:v>First-person point-and-click adventure</x:v>
      </x:c>
      <x:c r="N333" s="9" t="str">
        <x:v>Live-action + pre-rendered CG</x:v>
      </x:c>
      <x:c r="O333" s="9" t="n">
        <x:v>4</x:v>
      </x:c>
      <x:c r="P333" s="9" t="str">
        <x:v>FMV adventure</x:v>
      </x:c>
      <x:c r="Q333" s="9" t="str">
        <x:v>Released</x:v>
      </x:c>
      <x:c r="R333" s="9" t="str">
        <x:v>PC/Mac original (Cyan/Broderbund, 1993)</x:v>
      </x:c>
      <x:c r="S333" s="9" t="str">
        <x:v>Mac, PC, 3DO, PlayStation, CD-i, Jaguar CD, PSP, DS, iOS, many modern remakes</x:v>
      </x:c>
      <x:c r="T333" s="9" t="str">
        <x:v>Rand Miller (Atrus/Sirrus), Robyn Miller (Achenar)</x:v>
      </x:c>
      <x:c r="U333" s="9" t="n">
        <x:v>1</x:v>
      </x:c>
      <x:c r="V333" s="9" t="str">
        <x:v>Yes</x:v>
      </x:c>
      <x:c r="W333" s="9" t="str">
        <x:v>Standard Saturn pad; Shuttle Mouse supported (verify)</x:v>
      </x:c>
      <x:c r="X333" s="9" t="str">
        <x:v>Low</x:v>
      </x:c>
      <x:c r="Y333" s="9" t="str"/>
      <x:c r="Z333" s="9" t="str">
        <x:v>3–6 hr (minutes if you know the solution)</x:v>
      </x:c>
      <x:c r="AA333" s="9" t="str">
        <x:v>The best-selling PC game of its era squeezed onto a Saturn disc, with the Miller brothers' grainy video messages intact.</x:v>
      </x:c>
      <x:c r="AB333" s="9" t="str">
        <x:v>None known</x:v>
      </x:c>
      <x:c r="AC333" s="9" t="str">
        <x:v>Small boxed video windows (book pages, imager) over static pre-rendered stills; low-colour Cinepak-style (verify)</x:v>
      </x:c>
      <x:c r="AD333" s="9" t="str">
        <x:v>Puzzle-hard without a guide; no failure states</x:v>
      </x:c>
      <x:c r="AE333" s="9" t="str">
        <x:v>Four endings (free Atrus, side with Sirrus, side with Achenar, or trap yourself)</x:v>
      </x:c>
      <x:c r="AF333" s="9" t="str">
        <x:v>Sunsoft developed and published the Saturn conversion; the game is almost entirely still images with QuickTime-style video inserts. Famicom Tsūshin scored the Saturn version 25/40.</x:v>
      </x:c>
      <x:c r="AG333" s="9" t="str">
        <x:v>JP Sunsoft release; NA and PAL releases</x:v>
      </x:c>
      <x:c r="AH333" s="9" t="str">
        <x:v>Yes (realMyst, Myst 2021 on PC/consoles/VR; original on Steam/GOG)</x:v>
      </x:c>
      <x:c r="AI333" s="9" t="str">
        <x:v>Easy</x:v>
      </x:c>
      <x:c r="AJ333" s="9"/>
      <x:c r="AK333" s="9" t="str">
        <x:v>fmv 4: video is limited to the Miller brothers' book/imager clips and ambient loops; most play is stills. Sunsoft as Saturn developer/publisher confirmed by the Riven Wikipedia article; Wikipedia names Sunsoft for JP/EU and Acclaim for NA; the JP 1994 date remains unconfirmed (verify).</x:v>
      </x:c>
      <x:c r="AL333" s="10" t="n">
        <x:v>12.25</x:v>
      </x:c>
      <x:c r="AM333" s="10" t="n">
        <x:v>19.95</x:v>
      </x:c>
      <x:c r="AN333" s="10" t="n">
        <x:v>105.29</x:v>
      </x:c>
      <x:c r="AO333" s="9" t="str">
        <x:v>2026-10-21</x:v>
      </x:c>
      <x:c r="AP333" s="11" t="str">
        <x:f>HYPERLINK("https://www.pricecharting.com/game/sega-saturn/myst","PriceCharting")</x:f>
        <x:v>PriceCharting</x:v>
      </x:c>
      <x:c r="AQ333" s="9"/>
      <x:c r="AR333" s="9"/>
      <x:c r="AS333" s="9"/>
      <x:c r="AT333" s="9"/>
      <x:c r="AU333" s="9"/>
      <x:c r="AV333" s="9"/>
      <x:c r="AW333" s="9"/>
      <x:c r="AX333" s="9"/>
      <x:c r="AY333" s="9" t="str">
        <x:v>76%</x:v>
      </x:c>
      <x:c r="AZ333" s="9" t="str">
        <x:v>3.7</x:v>
      </x:c>
      <x:c r="BA333" s="11" t="str">
        <x:f>HYPERLINK("https://www.mobygames.com/search/?q=Myst","MobyGames")</x:f>
        <x:v>MobyGames</x:v>
      </x:c>
      <x:c r="BB333" s="9" t="str">
        <x:v>60%</x:v>
      </x:c>
      <x:c r="BC333" s="9" t="str">
        <x:v>average of 1 review on Wikipedia (NGen)</x:v>
      </x:c>
      <x:c r="BD333" s="9" t="str">
        <x:f>HYPERLINK("https://en.wikipedia.org/wiki/Myst","Source")</x:f>
        <x:v>Source</x:v>
      </x:c>
      <x:c r="BE333" s="11" t="str">
        <x:f>HYPERLINK("https://en.wikipedia.org/wiki/Myst","Wikipedia")</x:f>
        <x:v>Wikipedia</x:v>
      </x:c>
      <x:c r="BF333" s="11" t="str">
        <x:f>HYPERLINK("https://backloggd.com/search/games/Myst/","Backloggd")</x:f>
        <x:v>Backloggd</x:v>
      </x:c>
      <x:c r="BG333" s="11" t="str">
        <x:f>HYPERLINK("https://segaretro.org/Myst","Sega Retro")</x:f>
        <x:v>Sega Retro</x:v>
      </x:c>
      <x:c r="BH333" s="9"/>
      <x:c r="BI333" s="12" t="str">
        <x:v>No</x:v>
      </x:c>
      <x:c r="BJ333" s="12" t="str"/>
      <x:c r="BK333" s="12" t="str">
        <x:v>No</x:v>
      </x:c>
      <x:c r="BL333" s="12" t="str"/>
      <x:c r="BM333" s="12" t="str"/>
      <x:c r="BN333" s="12" t="str"/>
      <x:c r="BO333" s="12" t="str"/>
      <x:c r="BP333" s="12" t="str"/>
      <x:c r="BQ333" s="12" t="str"/>
    </x:row>
    <x:row r="334">
      <x:c r="A334" s="9" t="str">
        <x:v>saturn-13</x:v>
      </x:c>
      <x:c r="B334" s="9" t="str">
        <x:v>riven-the-sequel-to-myst</x:v>
      </x:c>
      <x:c r="C334" s="9" t="str">
        <x:v>Sega Saturn</x:v>
      </x:c>
      <x:c r="D334" s="9" t="str">
        <x:v>Riven: The Sequel to Myst</x:v>
      </x:c>
      <x:c r="E334" s="9" t="str">
        <x:v>リヴン (Riven) — verify kana</x:v>
      </x:c>
      <x:c r="F334" s="9" t="str">
        <x:v>Cyan (original); Saturn version developed by Sunsoft</x:v>
      </x:c>
      <x:c r="G334" s="9" t="str">
        <x:v>Acclaim (JP)</x:v>
      </x:c>
      <x:c r="H334" s="9" t="n">
        <x:v>1998</x:v>
      </x:c>
      <x:c r="I334" s="9" t="str">
        <x:v>No</x:v>
      </x:c>
      <x:c r="J334" s="9" t="str">
        <x:v>Yes</x:v>
      </x:c>
      <x:c r="K334" s="9" t="str">
        <x:v>No</x:v>
      </x:c>
      <x:c r="L334" s="9" t="str">
        <x:v>No</x:v>
      </x:c>
      <x:c r="M334" s="9" t="str">
        <x:v>First-person point-and-click adventure</x:v>
      </x:c>
      <x:c r="N334" s="9" t="str">
        <x:v>Live-action + pre-rendered CG</x:v>
      </x:c>
      <x:c r="O334" s="9" t="n">
        <x:v>5</x:v>
      </x:c>
      <x:c r="P334" s="9" t="str">
        <x:v>FMV adventure</x:v>
      </x:c>
      <x:c r="Q334" s="9" t="str">
        <x:v>Released</x:v>
      </x:c>
      <x:c r="R334" s="9" t="str">
        <x:v>PC/Mac original (Cyan/Red Orb, 1997)</x:v>
      </x:c>
      <x:c r="S334" s="9" t="str">
        <x:v>PC, Mac, PlayStation, Pocket PC, iOS, Android, 2024 remake</x:v>
      </x:c>
      <x:c r="T334" s="9" t="str">
        <x:v>John Keston (Gehn), Rand Miller (Atrus); Sheila Goold (Catherine, verify)</x:v>
      </x:c>
      <x:c r="U334" s="9" t="n">
        <x:v>4</x:v>
      </x:c>
      <x:c r="V334" s="9" t="str">
        <x:v>Yes</x:v>
      </x:c>
      <x:c r="W334" s="9" t="str">
        <x:v>Standard Saturn pad</x:v>
      </x:c>
      <x:c r="X334" s="9" t="str">
        <x:v>Low</x:v>
      </x:c>
      <x:c r="Y334" s="9" t="str"/>
      <x:c r="Z334" s="9" t="str">
        <x:v>6–10 hr</x:v>
      </x:c>
      <x:c r="AA334" s="9" t="str">
        <x:v>Japan's Saturn got Myst's sprawling sequel on a stack of discs; one of the late, rare Saturn adventure ports.</x:v>
      </x:c>
      <x:c r="AB334" s="9" t="str">
        <x:v>None known</x:v>
      </x:c>
      <x:c r="AC334" s="9" t="str">
        <x:v>Live-action characters composited into pre-rendered stills; Saturn encode quality unknown (verify)</x:v>
      </x:c>
      <x:c r="AD334" s="9" t="str">
        <x:v>Very hard puzzles; the five-ring number system and fire-marble domes</x:v>
      </x:c>
      <x:c r="AE334" s="9" t="str">
        <x:v>Several endings depending on the final sequence (Gehn trapped, Catherine freed, etc.)</x:v>
      </x:c>
      <x:c r="AF334" s="9" t="str">
        <x:v>Sunsoft, which did the Saturn Myst, was first set to publish Saturn Riven in PAL regions before Acclaim took the rights; no PAL release followed. The PC original shipped on five CDs.</x:v>
      </x:c>
      <x:c r="AG334" s="9" t="str">
        <x:v>JP only</x:v>
      </x:c>
      <x:c r="AH334" s="9" t="str">
        <x:v>Yes (Riven on Steam/GOG; 2024 full 3D remake)</x:v>
      </x:c>
      <x:c r="AI334" s="9" t="str">
        <x:v>Import</x:v>
      </x:c>
      <x:c r="AJ334" s="9"/>
      <x:c r="AK334" s="9" t="str">
        <x:v>Saturn release confirmed (Wikipedia; regvault lists the Saturn disc set as Acclaim, 1998, multi-disc). Japan only. Disc count 4 is from memory: the PC version used five CDs, the Saturn count is unconfirmed (verify). No PriceCharting JP Saturn page found by slug.</x:v>
      </x:c>
      <x:c r="AL334" s="10" t="n">
        <x:v>10.39</x:v>
      </x:c>
      <x:c r="AM334" s="10" t="n">
        <x:v>24.99</x:v>
      </x:c>
      <x:c r="AN334" s="10" t="n">
        <x:v>42</x:v>
      </x:c>
      <x:c r="AO334" s="9" t="str">
        <x:v>2026-10-21</x:v>
      </x:c>
      <x:c r="AP334" s="11" t="str">
        <x:f>HYPERLINK("https://www.pricecharting.com/game/jp-sega-saturn/riven-the-sequel-to-myst","PriceCharting")</x:f>
        <x:v>PriceCharting</x:v>
      </x:c>
      <x:c r="AQ334" s="9"/>
      <x:c r="AR334" s="9"/>
      <x:c r="AS334" s="9"/>
      <x:c r="AT334" s="9"/>
      <x:c r="AU334" s="9"/>
      <x:c r="AV334" s="9"/>
      <x:c r="AW334" s="9"/>
      <x:c r="AX334" s="9"/>
      <x:c r="AY334" s="9"/>
      <x:c r="AZ334" s="9"/>
      <x:c r="BA334" s="11" t="str">
        <x:f>HYPERLINK("https://www.mobygames.com/search/?q=Riven%3A+The+Sequel+to+Myst","MobyGames")</x:f>
        <x:v>MobyGames</x:v>
      </x:c>
      <x:c r="BB334" s="9"/>
      <x:c r="BC334" s="9"/>
      <x:c r="BD334" s="9"/>
      <x:c r="BE334" s="11" t="str">
        <x:f>HYPERLINK("https://en.wikipedia.org/wiki/Riven","Wikipedia")</x:f>
        <x:v>Wikipedia</x:v>
      </x:c>
      <x:c r="BF334" s="11" t="str">
        <x:f>HYPERLINK("https://backloggd.com/search/games/Riven%3A%20The%20Sequel%20to%20Myst/","Backloggd")</x:f>
        <x:v>Backloggd</x:v>
      </x:c>
      <x:c r="BG334" s="11" t="str">
        <x:f>HYPERLINK("https://segaretro.org/Riven","Sega Retro")</x:f>
        <x:v>Sega Retro</x:v>
      </x:c>
      <x:c r="BH334" s="9"/>
      <x:c r="BI334" s="12" t="str">
        <x:v>No</x:v>
      </x:c>
      <x:c r="BJ334" s="12" t="str"/>
      <x:c r="BK334" s="12" t="str">
        <x:v>No</x:v>
      </x:c>
      <x:c r="BL334" s="12" t="str"/>
      <x:c r="BM334" s="12" t="str"/>
      <x:c r="BN334" s="12" t="str"/>
      <x:c r="BO334" s="12" t="str"/>
      <x:c r="BP334" s="12" t="str"/>
      <x:c r="BQ334" s="12" t="str"/>
    </x:row>
    <x:row r="335">
      <x:c r="A335" s="9" t="str">
        <x:v>saturn-14</x:v>
      </x:c>
      <x:c r="B335" s="9" t="str">
        <x:v>phantasmagoria</x:v>
      </x:c>
      <x:c r="C335" s="9" t="str">
        <x:v>Sega Saturn</x:v>
      </x:c>
      <x:c r="D335" s="9" t="str">
        <x:v>Phantasmagoria</x:v>
      </x:c>
      <x:c r="E335" s="9" t="str">
        <x:v>Phantasm (ファンタズム, Japanese Saturn title) — verify kana</x:v>
      </x:c>
      <x:c r="F335" s="9" t="str">
        <x:v>Sierra On-Line (original); Saturn port by Infinity Entertainment Technology</x:v>
      </x:c>
      <x:c r="G335" s="9" t="str">
        <x:v>Outrigger (JP)</x:v>
      </x:c>
      <x:c r="H335" s="9" t="n">
        <x:v>1997</x:v>
      </x:c>
      <x:c r="I335" s="9" t="str">
        <x:v>No</x:v>
      </x:c>
      <x:c r="J335" s="9" t="str">
        <x:v>Yes</x:v>
      </x:c>
      <x:c r="K335" s="9" t="str">
        <x:v>No</x:v>
      </x:c>
      <x:c r="L335" s="9" t="str">
        <x:v>No</x:v>
      </x:c>
      <x:c r="M335" s="9" t="str">
        <x:v>Horror point-and-click adventure</x:v>
      </x:c>
      <x:c r="N335" s="9" t="str">
        <x:v>Live-action + CG</x:v>
      </x:c>
      <x:c r="O335" s="9" t="n">
        <x:v>8</x:v>
      </x:c>
      <x:c r="P335" s="9" t="str">
        <x:v>Interactive movie</x:v>
      </x:c>
      <x:c r="Q335" s="9" t="str">
        <x:v>Released</x:v>
      </x:c>
      <x:c r="R335" s="9" t="str">
        <x:v>PC original (Sierra On-Line, 1995)</x:v>
      </x:c>
      <x:c r="S335" s="9" t="str">
        <x:v>DOS/Windows, Mac; ScummVM; Steam/GOG</x:v>
      </x:c>
      <x:c r="T335" s="9" t="str">
        <x:v>Victoria Morsell (Adrienne Delaney), David Homb (Don Gordon), Robert Miano (Zoltan Carnovasch), V. Joy Lee (Harriet), Steven W. Bailey (Cyrus), Douglas Seale (Malcolm Wyrmshadow)</x:v>
      </x:c>
      <x:c r="U335" s="9" t="n">
        <x:v>8</x:v>
      </x:c>
      <x:c r="V335" s="9" t="str">
        <x:v>Yes (verify)</x:v>
      </x:c>
      <x:c r="W335" s="9" t="str">
        <x:v>Standard Saturn pad; Shuttle/NetLink mouse supported</x:v>
      </x:c>
      <x:c r="X335" s="9" t="str">
        <x:v>Low</x:v>
      </x:c>
      <x:c r="Y335" s="9" t="str"/>
      <x:c r="Z335" s="9" t="str">
        <x:v>5–7 hr</x:v>
      </x:c>
      <x:c r="AA335" s="9" t="str">
        <x:v>Roberta Williams' gory live-action horror epic, ported only to the Japanese Saturn — on a huge stack of discs.</x:v>
      </x:c>
      <x:c r="AB335" s="9" t="str">
        <x:v>None known</x:v>
      </x:c>
      <x:c r="AC335" s="9" t="str">
        <x:v>Live-action actors over pre-rendered rooms; low resolution, blue outlines around actor sprites, and backgrounds that load before the video</x:v>
      </x:c>
      <x:c r="AD335" s="9" t="str">
        <x:v>Easy; Sierra-style but you cannot die until the finale</x:v>
      </x:c>
      <x:c r="AE335" s="9" t="str">
        <x:v>One ending (chase finale); death possible in final chapter</x:v>
      </x:c>
      <x:c r="AF335" s="9" t="str">
        <x:v>Released in Japan as Phantasm on a record eight Saturn discs (the PC original used seven). A 2022 fan patch restores the original English audio.</x:v>
      </x:c>
      <x:c r="AG335" s="9" t="str">
        <x:v>JP only</x:v>
      </x:c>
      <x:c r="AH335" s="9" t="str">
        <x:v>Yes (PC on Steam/GOG; not Saturn version)</x:v>
      </x:c>
      <x:c r="AI335" s="9" t="str">
        <x:v>Import</x:v>
      </x:c>
      <x:c r="AJ335" s="9"/>
      <x:c r="AK335" s="9" t="str">
        <x:v>Japan only, summer 1997, published by Outrigger and ported by Infinity Entertainment Technology, 8 discs (SegaSaturnShiro). Japanese translation; dub vs subtitles not stated. No Saturn-specific censorship reported (verify). Port quality described as barely competent. No JP PriceCharting page found by slug.</x:v>
      </x:c>
      <x:c r="AL335" s="10" t="n">
        <x:v>59.69</x:v>
      </x:c>
      <x:c r="AM335" s="10" t="n">
        <x:v>112.37</x:v>
      </x:c>
      <x:c r="AN335" s="10" t="n">
        <x:v>191</x:v>
      </x:c>
      <x:c r="AO335" s="9" t="str">
        <x:v>2026-10-21</x:v>
      </x:c>
      <x:c r="AP335" s="11" t="str">
        <x:f>HYPERLINK("https://www.pricecharting.com/search-products?q=Phantasmagoria+saturn&amp;type=prices","PriceCharting")</x:f>
        <x:v>PriceCharting</x:v>
      </x:c>
      <x:c r="AQ335" s="9"/>
      <x:c r="AR335" s="9"/>
      <x:c r="AS335" s="9"/>
      <x:c r="AT335" s="9"/>
      <x:c r="AU335" s="9"/>
      <x:c r="AV335" s="9"/>
      <x:c r="AW335" s="9"/>
      <x:c r="AX335" s="9"/>
      <x:c r="AY335" s="9"/>
      <x:c r="AZ335" s="9"/>
      <x:c r="BA335" s="11" t="str">
        <x:f>HYPERLINK("https://www.mobygames.com/search/?q=Phantasmagoria","MobyGames")</x:f>
        <x:v>MobyGames</x:v>
      </x:c>
      <x:c r="BB335" s="9"/>
      <x:c r="BC335" s="9"/>
      <x:c r="BD335" s="9"/>
      <x:c r="BE335" s="11" t="str">
        <x:f>HYPERLINK("https://en.wikipedia.org/wiki/Phantasmagoria_(video_game)","Wikipedia")</x:f>
        <x:v>Wikipedia</x:v>
      </x:c>
      <x:c r="BF335" s="11" t="str">
        <x:f>HYPERLINK("https://backloggd.com/search/games/Phantasmagoria/","Backloggd")</x:f>
        <x:v>Backloggd</x:v>
      </x:c>
      <x:c r="BG335" s="11" t="str">
        <x:f>HYPERLINK("https://segaretro.org/Phantasmagoria","Sega Retro")</x:f>
        <x:v>Sega Retro</x:v>
      </x:c>
      <x:c r="BH335" s="9"/>
      <x:c r="BI335" s="12" t="str">
        <x:v>No</x:v>
      </x:c>
      <x:c r="BJ335" s="12" t="str"/>
      <x:c r="BK335" s="12" t="str">
        <x:v>No</x:v>
      </x:c>
      <x:c r="BL335" s="12" t="str"/>
      <x:c r="BM335" s="12" t="str"/>
      <x:c r="BN335" s="12" t="str"/>
      <x:c r="BO335" s="12" t="str"/>
      <x:c r="BP335" s="12" t="str"/>
      <x:c r="BQ335" s="12" t="str"/>
    </x:row>
    <x:row r="336">
      <x:c r="A336" s="9" t="str">
        <x:v>saturn-15</x:v>
      </x:c>
      <x:c r="B336" s="9" t="str">
        <x:v>return-to-zork</x:v>
      </x:c>
      <x:c r="C336" s="9" t="str">
        <x:v>Sega Saturn</x:v>
      </x:c>
      <x:c r="D336" s="9" t="str">
        <x:v>Return to Zork</x:v>
      </x:c>
      <x:c r="E336" s="9" t="str">
        <x:v>リターン・トゥ・ゾーク (verify)</x:v>
      </x:c>
      <x:c r="F336" s="9" t="str">
        <x:v>Activision (original); Saturn port — verify</x:v>
      </x:c>
      <x:c r="G336" s="9" t="str">
        <x:v>Bandai Visual (JP) — verify</x:v>
      </x:c>
      <x:c r="H336" s="9" t="n">
        <x:v>1996</x:v>
      </x:c>
      <x:c r="I336" s="9" t="str">
        <x:v>No</x:v>
      </x:c>
      <x:c r="J336" s="9" t="str">
        <x:v>Yes</x:v>
      </x:c>
      <x:c r="K336" s="9" t="str">
        <x:v>No</x:v>
      </x:c>
      <x:c r="L336" s="9" t="str">
        <x:v>No</x:v>
      </x:c>
      <x:c r="M336" s="9" t="str">
        <x:v>Point-and-click adventure</x:v>
      </x:c>
      <x:c r="N336" s="9" t="str">
        <x:v>Live-action + CG</x:v>
      </x:c>
      <x:c r="O336" s="9" t="n">
        <x:v>4</x:v>
      </x:c>
      <x:c r="P336" s="9" t="str">
        <x:v>FMV adventure</x:v>
      </x:c>
      <x:c r="Q336" s="9" t="str">
        <x:v>Released</x:v>
      </x:c>
      <x:c r="R336" s="9" t="str">
        <x:v>PC original (Activision, 1993)</x:v>
      </x:c>
      <x:c r="S336" s="9" t="str">
        <x:v>DOS, Mac, FM Towns, PlayStation (JP)</x:v>
      </x:c>
      <x:c r="T336" s="9" t="str">
        <x:v>Jason Hervey (Troll King), Robyn Lively (The Fairy), Sam J. Jones (Blind Bowman), A.J. Langer (Rebecca Snoot)</x:v>
      </x:c>
      <x:c r="U336" s="9" t="n">
        <x:v>1</x:v>
      </x:c>
      <x:c r="V336" s="9" t="str">
        <x:v>Yes (verify)</x:v>
      </x:c>
      <x:c r="W336" s="9" t="str">
        <x:v>Standard Saturn pad</x:v>
      </x:c>
      <x:c r="X336" s="9" t="str">
        <x:v>Low</x:v>
      </x:c>
      <x:c r="Y336" s="9" t="str"/>
      <x:c r="Z336" s="9" t="str">
        <x:v>6–10 hr</x:v>
      </x:c>
      <x:c r="AA336" s="9" t="str">
        <x:v>'Want some rye? Course ya do.' Activision's cheesy live-action Zork revival, only on the Japanese Saturn.</x:v>
      </x:c>
      <x:c r="AB336" s="9" t="str">
        <x:v>None known</x:v>
      </x:c>
      <x:c r="AC336" s="9" t="str">
        <x:v>Small live-action character windows over CG locations (verify)</x:v>
      </x:c>
      <x:c r="AD336" s="9" t="str">
        <x:v>Hard; easy to make the game unwinnable</x:v>
      </x:c>
      <x:c r="AE336" s="9" t="str">
        <x:v>One main ending (verify)</x:v>
      </x:c>
      <x:c r="AF336" s="9" t="str">
        <x:v>An early Activision CD-ROM showcase with a Hollywood-ish cast; famous for the 'Want some rye?' line.</x:v>
      </x:c>
      <x:c r="AG336" s="9" t="str">
        <x:v>JP only</x:v>
      </x:c>
      <x:c r="AH336" s="9" t="str">
        <x:v>No</x:v>
      </x:c>
      <x:c r="AI336" s="9" t="str">
        <x:v>Import</x:v>
      </x:c>
      <x:c r="AJ336" s="9"/>
      <x:c r="AK336" s="9" t="str">
        <x:v>Japan only on Saturn (1996), confirmed by Wikipedia; the PlayStation, PC-FX and FM Towns ports were also Japan-only. Bandai Visual as publisher unconfirmed (verify). Likely Japanese-dubbed/subbed (verify). PriceCharting JP Saturn page exists.</x:v>
      </x:c>
      <x:c r="AL336" s="10" t="n">
        <x:v>3.01</x:v>
      </x:c>
      <x:c r="AM336" s="10" t="n">
        <x:v>22.25</x:v>
      </x:c>
      <x:c r="AN336" s="10" t="n">
        <x:v>29.25</x:v>
      </x:c>
      <x:c r="AO336" s="9" t="str">
        <x:v>2026-10-21</x:v>
      </x:c>
      <x:c r="AP336" s="11" t="str">
        <x:f>HYPERLINK("https://www.pricecharting.com/game/jp-sega-saturn/return-to-zork","PriceCharting")</x:f>
        <x:v>PriceCharting</x:v>
      </x:c>
      <x:c r="AQ336" s="9"/>
      <x:c r="AR336" s="9"/>
      <x:c r="AS336" s="9"/>
      <x:c r="AT336" s="9"/>
      <x:c r="AU336" s="9"/>
      <x:c r="AV336" s="9"/>
      <x:c r="AW336" s="9"/>
      <x:c r="AX336" s="9"/>
      <x:c r="AY336" s="9"/>
      <x:c r="AZ336" s="9" t="str">
        <x:v>2.3</x:v>
      </x:c>
      <x:c r="BA336" s="11" t="str">
        <x:f>HYPERLINK("https://www.mobygames.com/search/?q=Return+to+Zork","MobyGames")</x:f>
        <x:v>MobyGames</x:v>
      </x:c>
      <x:c r="BB336" s="9"/>
      <x:c r="BC336" s="9"/>
      <x:c r="BD336" s="9"/>
      <x:c r="BE336" s="11" t="str">
        <x:f>HYPERLINK("https://en.wikipedia.org/wiki/Return_to_Zork","Wikipedia")</x:f>
        <x:v>Wikipedia</x:v>
      </x:c>
      <x:c r="BF336" s="11" t="str">
        <x:f>HYPERLINK("https://backloggd.com/search/games/Return%20to%20Zork/","Backloggd")</x:f>
        <x:v>Backloggd</x:v>
      </x:c>
      <x:c r="BG336" s="11" t="str">
        <x:f>HYPERLINK("https://segaretro.org/Return_to_Zork","Sega Retro")</x:f>
        <x:v>Sega Retro</x:v>
      </x:c>
      <x:c r="BH336" s="9"/>
      <x:c r="BI336" s="12" t="str">
        <x:v>No</x:v>
      </x:c>
      <x:c r="BJ336" s="12" t="str"/>
      <x:c r="BK336" s="12" t="str">
        <x:v>No</x:v>
      </x:c>
      <x:c r="BL336" s="12" t="str"/>
      <x:c r="BM336" s="12" t="str"/>
      <x:c r="BN336" s="12" t="str"/>
      <x:c r="BO336" s="12" t="str"/>
      <x:c r="BP336" s="12" t="str"/>
      <x:c r="BQ336" s="12" t="str"/>
    </x:row>
    <x:row r="337">
      <x:c r="A337" s="9" t="str">
        <x:v>saturn-16</x:v>
      </x:c>
      <x:c r="B337" s="9" t="str">
        <x:v>prisoner-of-ice</x:v>
      </x:c>
      <x:c r="C337" s="9" t="str">
        <x:v>Sega Saturn</x:v>
      </x:c>
      <x:c r="D337" s="9" t="str">
        <x:v>Prisoner of Ice</x:v>
      </x:c>
      <x:c r="E337" s="9" t="str">
        <x:v>Prisoner of Ice: Jashin Kourin (プリズナー・オブ・アイス 邪神降臨); Call of Cthulhu: Prisoner of Ice</x:v>
      </x:c>
      <x:c r="F337" s="9" t="str">
        <x:v>Infogrames (original)</x:v>
      </x:c>
      <x:c r="G337" s="9" t="str">
        <x:v>Xing Entertainment (JP)</x:v>
      </x:c>
      <x:c r="H337" s="9" t="n">
        <x:v>1997</x:v>
      </x:c>
      <x:c r="I337" s="9" t="str">
        <x:v>No</x:v>
      </x:c>
      <x:c r="J337" s="9" t="str">
        <x:v>Yes</x:v>
      </x:c>
      <x:c r="K337" s="9" t="str">
        <x:v>No</x:v>
      </x:c>
      <x:c r="L337" s="9" t="str">
        <x:v>No</x:v>
      </x:c>
      <x:c r="M337" s="9" t="str">
        <x:v>Point-and-click horror adventure</x:v>
      </x:c>
      <x:c r="N337" s="9" t="str">
        <x:v>Animated</x:v>
      </x:c>
      <x:c r="O337" s="9" t="n">
        <x:v>3</x:v>
      </x:c>
      <x:c r="P337" s="9" t="str">
        <x:v>Cutscenes only</x:v>
      </x:c>
      <x:c r="Q337" s="9" t="str">
        <x:v>Released</x:v>
      </x:c>
      <x:c r="R337" s="9" t="str">
        <x:v>PC original (Infogrames, 1995), Lovecraft/Call of Cthulhu license</x:v>
      </x:c>
      <x:c r="S337" s="9" t="str">
        <x:v>DOS, Mac, PlayStation (JP)</x:v>
      </x:c>
      <x:c r="T337" s="9" t="str">
        <x:v>—</x:v>
      </x:c>
      <x:c r="U337" s="9" t="n">
        <x:v>1</x:v>
      </x:c>
      <x:c r="V337" s="9" t="str">
        <x:v>Yes (verify)</x:v>
      </x:c>
      <x:c r="W337" s="9" t="str">
        <x:v>Standard Saturn pad; NetLink mouse supported</x:v>
      </x:c>
      <x:c r="X337" s="9" t="str">
        <x:v>Low</x:v>
      </x:c>
      <x:c r="Y337" s="9" t="str"/>
      <x:c r="Z337" s="9" t="str">
        <x:v>4–6 hr</x:v>
      </x:c>
      <x:c r="AA337" s="9" t="str">
        <x:v>Infogrames' Cthulhu adventure aboard a WWII submarine, Japan-only on Saturn and now fan-translated into English.</x:v>
      </x:c>
      <x:c r="AB337" s="9" t="str">
        <x:v>None known</x:v>
      </x:c>
      <x:c r="AC337" s="9" t="str">
        <x:v>Animated/rendered cutscenes; quality unknown (verify)</x:v>
      </x:c>
      <x:c r="AD337" s="9" t="str">
        <x:v>Moderate; timed sequences and deaths</x:v>
      </x:c>
      <x:c r="AE337" s="9" t="str">
        <x:v>Single ending (verify)</x:v>
      </x:c>
      <x:c r="AF337" s="9" t="str">
        <x:v>An English fan patch for the Saturn version appeared in 2023, notable since the Saturn release was Japanese-only.</x:v>
      </x:c>
      <x:c r="AG337" s="9" t="str">
        <x:v>JP only</x:v>
      </x:c>
      <x:c r="AH337" s="9" t="str">
        <x:v>Yes (PC on GOG/Steam — verify)</x:v>
      </x:c>
      <x:c r="AI337" s="9" t="str">
        <x:v>Import</x:v>
      </x:c>
      <x:c r="AJ337" s="9"/>
      <x:c r="AK337" s="9" t="str">
        <x:v>Japan only, released Dec 25, 1997 by Xing Entertainment as Prisoner of Ice: Jashin Kourin (Wikipedia en/ja). No enhancements over the PC version; English voice acting kept with Japanese on-screen text. fmv 3: cutscenes only.</x:v>
      </x:c>
      <x:c r="AL337" s="10" t="n">
        <x:v>22.96</x:v>
      </x:c>
      <x:c r="AM337" s="10" t="n">
        <x:v>37.49</x:v>
      </x:c>
      <x:c r="AN337" s="10" t="n">
        <x:v>64</x:v>
      </x:c>
      <x:c r="AO337" s="9" t="str">
        <x:v>2026-10-21</x:v>
      </x:c>
      <x:c r="AP337" s="11" t="str">
        <x:f>HYPERLINK("https://www.pricecharting.com/game/jp-sega-saturn/prisoner-of-ice","PriceCharting")</x:f>
        <x:v>PriceCharting</x:v>
      </x:c>
      <x:c r="AQ337" s="9"/>
      <x:c r="AR337" s="9"/>
      <x:c r="AS337" s="9"/>
      <x:c r="AT337" s="9"/>
      <x:c r="AU337" s="9"/>
      <x:c r="AV337" s="9"/>
      <x:c r="AW337" s="9"/>
      <x:c r="AX337" s="9"/>
      <x:c r="AY337" s="9"/>
      <x:c r="AZ337" s="9" t="str">
        <x:v>3.2</x:v>
      </x:c>
      <x:c r="BA337" s="11" t="str">
        <x:f>HYPERLINK("https://www.mobygames.com/search/?q=Prisoner+of+Ice","MobyGames")</x:f>
        <x:v>MobyGames</x:v>
      </x:c>
      <x:c r="BB337" s="9"/>
      <x:c r="BC337" s="9"/>
      <x:c r="BD337" s="9"/>
      <x:c r="BE337" s="11" t="str">
        <x:f>HYPERLINK("https://en.wikipedia.org/wiki/Prisoner_of_Ice","Wikipedia")</x:f>
        <x:v>Wikipedia</x:v>
      </x:c>
      <x:c r="BF337" s="11" t="str">
        <x:f>HYPERLINK("https://backloggd.com/search/games/Prisoner%20of%20Ice/","Backloggd")</x:f>
        <x:v>Backloggd</x:v>
      </x:c>
      <x:c r="BG337" s="11" t="str">
        <x:f>HYPERLINK("https://segaretro.org/Prisoner_of_Ice","Sega Retro")</x:f>
        <x:v>Sega Retro</x:v>
      </x:c>
      <x:c r="BH337" s="9"/>
      <x:c r="BI337" s="12" t="str">
        <x:v>No</x:v>
      </x:c>
      <x:c r="BJ337" s="12" t="str"/>
      <x:c r="BK337" s="12" t="str">
        <x:v>No</x:v>
      </x:c>
      <x:c r="BL337" s="12" t="str"/>
      <x:c r="BM337" s="12" t="str"/>
      <x:c r="BN337" s="12" t="str"/>
      <x:c r="BO337" s="12" t="str"/>
      <x:c r="BP337" s="12" t="str"/>
      <x:c r="BQ337" s="12" t="str"/>
    </x:row>
    <x:row r="338">
      <x:c r="A338" s="9" t="str">
        <x:v>saturn-17</x:v>
      </x:c>
      <x:c r="B338" s="9" t="str">
        <x:v>mr-bones</x:v>
      </x:c>
      <x:c r="C338" s="9" t="str">
        <x:v>Sega Saturn</x:v>
      </x:c>
      <x:c r="D338" s="9" t="str">
        <x:v>Mr. Bones</x:v>
      </x:c>
      <x:c r="E338" s="9" t="str"/>
      <x:c r="F338" s="9" t="str">
        <x:v>Zono Inc.</x:v>
      </x:c>
      <x:c r="G338" s="9" t="str">
        <x:v>Sega (NA/JP)</x:v>
      </x:c>
      <x:c r="H338" s="9" t="n">
        <x:v>1996</x:v>
      </x:c>
      <x:c r="I338" s="9" t="str">
        <x:v>Yes</x:v>
      </x:c>
      <x:c r="J338" s="9" t="str">
        <x:v>Yes</x:v>
      </x:c>
      <x:c r="K338" s="9" t="str">
        <x:v>No</x:v>
      </x:c>
      <x:c r="L338" s="9" t="str">
        <x:v>No</x:v>
      </x:c>
      <x:c r="M338" s="9" t="str">
        <x:v>Platformer / music action</x:v>
      </x:c>
      <x:c r="N338" s="9" t="str">
        <x:v>Live-action + CG</x:v>
      </x:c>
      <x:c r="O338" s="9" t="n">
        <x:v>3</x:v>
      </x:c>
      <x:c r="P338" s="9" t="str">
        <x:v>Cutscenes only</x:v>
      </x:c>
      <x:c r="Q338" s="9" t="str">
        <x:v>Released</x:v>
      </x:c>
      <x:c r="R338" s="9" t="str">
        <x:v>Original production</x:v>
      </x:c>
      <x:c r="S338" s="9" t="str">
        <x:v>None</x:v>
      </x:c>
      <x:c r="T338" s="9" t="str">
        <x:v>Unknown — verify</x:v>
      </x:c>
      <x:c r="U338" s="9" t="n">
        <x:v>1</x:v>
      </x:c>
      <x:c r="V338" s="9" t="str">
        <x:v>Yes (verify)</x:v>
      </x:c>
      <x:c r="W338" s="9" t="str">
        <x:v>Standard Saturn pad</x:v>
      </x:c>
      <x:c r="X338" s="9" t="str">
        <x:v>Low</x:v>
      </x:c>
      <x:c r="Y338" s="9" t="str"/>
      <x:c r="Z338" s="9" t="str">
        <x:v>3–5 hr</x:v>
      </x:c>
      <x:c r="AA338" s="9" t="str">
        <x:v>A skeleton who fights with his guitar — Sega's weirdest Saturn experiment, with live-action video between its genre-hopping stages.</x:v>
      </x:c>
      <x:c r="AB338" s="9" t="str">
        <x:v>None known</x:v>
      </x:c>
      <x:c r="AC338" s="9" t="str">
        <x:v>FMV cutscenes; quality unknown (verify)</x:v>
      </x:c>
      <x:c r="AD338" s="9" t="str">
        <x:v>Uneven; some stages notoriously hard</x:v>
      </x:c>
      <x:c r="AE338" s="9" t="str">
        <x:v>One ending (verify)</x:v>
      </x:c>
      <x:c r="AF338" s="9" t="str">
        <x:v>Each stage is a different mini-genre; the soundtrack leans heavily on blues guitar.</x:v>
      </x:c>
      <x:c r="AG338" s="9" t="str">
        <x:v>NA and JP releases; PAL release not confirmed</x:v>
      </x:c>
      <x:c r="AH338" s="9" t="str">
        <x:v>No</x:v>
      </x:c>
      <x:c r="AI338" s="9" t="str">
        <x:v>Easy</x:v>
      </x:c>
      <x:c r="AJ338" s="9"/>
      <x:c r="AK338" s="9" t="str">
        <x:v>fmv 3: video cutscenes between stages (live-action vs CG mix to verify). Cast not confirmed; do not fill from memory. The fetched Wikipedia page was the 2001 film, so nothing here is confirmed by reference text; urlWiki cleared.</x:v>
      </x:c>
      <x:c r="AL338" s="10" t="n">
        <x:v>54.72</x:v>
      </x:c>
      <x:c r="AM338" s="10" t="n">
        <x:v>92.5</x:v>
      </x:c>
      <x:c r="AN338" s="10" t="n">
        <x:v>174.23</x:v>
      </x:c>
      <x:c r="AO338" s="9" t="str">
        <x:v>2026-10-21</x:v>
      </x:c>
      <x:c r="AP338" s="11" t="str">
        <x:f>HYPERLINK("https://www.pricecharting.com/game/sega-saturn/mr-bones","PriceCharting")</x:f>
        <x:v>PriceCharting</x:v>
      </x:c>
      <x:c r="AQ338" s="9"/>
      <x:c r="AR338" s="9"/>
      <x:c r="AS338" s="9"/>
      <x:c r="AT338" s="9"/>
      <x:c r="AU338" s="9"/>
      <x:c r="AV338" s="9"/>
      <x:c r="AW338" s="9"/>
      <x:c r="AX338" s="9"/>
      <x:c r="AY338" s="9"/>
      <x:c r="AZ338" s="9"/>
      <x:c r="BA338" s="11" t="str">
        <x:f>HYPERLINK("https://www.mobygames.com/search/?q=Mr.+Bones","MobyGames")</x:f>
        <x:v>MobyGames</x:v>
      </x:c>
      <x:c r="BB338" s="9" t="str">
        <x:v>77%</x:v>
      </x:c>
      <x:c r="BC338" s="9" t="str">
        <x:v>GameRankings, 4 reviews</x:v>
      </x:c>
      <x:c r="BD338" s="9" t="str">
        <x:f>HYPERLINK("https://web.archive.org/web/20191209013831id_/https://www.gamerankings.com/saturn/198009-mr-bones/","Source")</x:f>
        <x:v>Source</x:v>
      </x:c>
      <x:c r="BE338" s="9"/>
      <x:c r="BF338" s="11" t="str">
        <x:f>HYPERLINK("https://backloggd.com/search/games/Mr.%20Bones/","Backloggd")</x:f>
        <x:v>Backloggd</x:v>
      </x:c>
      <x:c r="BG338" s="11" t="str">
        <x:f>HYPERLINK("https://segaretro.org/Mr._Bones","Sega Retro")</x:f>
        <x:v>Sega Retro</x:v>
      </x:c>
      <x:c r="BH338" s="9"/>
      <x:c r="BI338" s="12" t="str">
        <x:v>No</x:v>
      </x:c>
      <x:c r="BJ338" s="12" t="str"/>
      <x:c r="BK338" s="12" t="str">
        <x:v>No</x:v>
      </x:c>
      <x:c r="BL338" s="12" t="str"/>
      <x:c r="BM338" s="12" t="str"/>
      <x:c r="BN338" s="12" t="str"/>
      <x:c r="BO338" s="12" t="str"/>
      <x:c r="BP338" s="12" t="str"/>
      <x:c r="BQ338" s="12" t="str"/>
    </x:row>
    <x:row r="339">
      <x:c r="A339" s="9" t="str">
        <x:v>saturn-18</x:v>
      </x:c>
      <x:c r="B339" s="9" t="str">
        <x:v>lunacy</x:v>
      </x:c>
      <x:c r="C339" s="9" t="str">
        <x:v>Sega Saturn</x:v>
      </x:c>
      <x:c r="D339" s="9" t="str">
        <x:v>Lunacy</x:v>
      </x:c>
      <x:c r="E339" s="9" t="str">
        <x:v>Gekka Mugentan Torico (月花霧幻譚〜TORICO〜) (JP); Torico (EU)</x:v>
      </x:c>
      <x:c r="F339" s="9" t="str">
        <x:v>System Sacom</x:v>
      </x:c>
      <x:c r="G339" s="9" t="str">
        <x:v>Sega (JP/EU); Atlus (NA)</x:v>
      </x:c>
      <x:c r="H339" s="9" t="n">
        <x:v>1996</x:v>
      </x:c>
      <x:c r="I339" s="9" t="str">
        <x:v>Yes</x:v>
      </x:c>
      <x:c r="J339" s="9" t="str">
        <x:v>Yes</x:v>
      </x:c>
      <x:c r="K339" s="9" t="str">
        <x:v>Yes</x:v>
      </x:c>
      <x:c r="L339" s="9" t="str">
        <x:v>No</x:v>
      </x:c>
      <x:c r="M339" s="9" t="str">
        <x:v>First-person FMV adventure</x:v>
      </x:c>
      <x:c r="N339" s="9" t="str">
        <x:v>Pre-rendered CG</x:v>
      </x:c>
      <x:c r="O339" s="9" t="n">
        <x:v>8</x:v>
      </x:c>
      <x:c r="P339" s="9" t="str">
        <x:v>Pre-rendered CG</x:v>
      </x:c>
      <x:c r="Q339" s="9" t="str">
        <x:v>Released</x:v>
      </x:c>
      <x:c r="R339" s="9" t="str">
        <x:v>Original production</x:v>
      </x:c>
      <x:c r="S339" s="9" t="str">
        <x:v>None</x:v>
      </x:c>
      <x:c r="T339" s="9" t="str">
        <x:v>—</x:v>
      </x:c>
      <x:c r="U339" s="9" t="n">
        <x:v>2</x:v>
      </x:c>
      <x:c r="V339" s="9" t="str">
        <x:v>Yes (verify)</x:v>
      </x:c>
      <x:c r="W339" s="9" t="str">
        <x:v>Standard Saturn pad</x:v>
      </x:c>
      <x:c r="X339" s="9" t="str">
        <x:v>Low</x:v>
      </x:c>
      <x:c r="Y339" s="9" t="str"/>
      <x:c r="Z339" s="9" t="str">
        <x:v>2–4 hr</x:v>
      </x:c>
      <x:c r="AA339" s="9" t="str">
        <x:v>System Sacom's moody all-CG walk through a moonlit fantasy town — and now one of the priciest US Saturn discs.</x:v>
      </x:c>
      <x:c r="AB339" s="9" t="str">
        <x:v>None known</x:v>
      </x:c>
      <x:c r="AC339" s="9" t="str">
        <x:v>Full-screen pre-rendered CG movement and story video (verify resolution/fps)</x:v>
      </x:c>
      <x:c r="AD339" s="9" t="str">
        <x:v>Easy puzzles</x:v>
      </x:c>
      <x:c r="AE339" s="9" t="str">
        <x:v>One ending (verify)</x:v>
      </x:c>
      <x:c r="AF339" s="9" t="str">
        <x:v>Made by the Mansion of Hidden Souls team (System Sacom) as the third, side-story entry in that series. Disc 1 (Misty Town) is linear; disc 2 (City of Moons) has multiple endings.</x:v>
      </x:c>
      <x:c r="AG339" s="9" t="str">
        <x:v>JP Gekka Mugentan Torico (Jun 28, 1996), PAL Torico, NA Lunacy</x:v>
      </x:c>
      <x:c r="AH339" s="9" t="str">
        <x:v>No</x:v>
      </x:c>
      <x:c r="AI339" s="9" t="str">
        <x:v>Expensive</x:v>
      </x:c>
      <x:c r="AJ339" s="9"/>
      <x:c r="AK339" s="9" t="str">
        <x:v>JP release Jun 28, 1996 by Sega; also released in Europe as Torico (eu corrected to true). Two discs confirmed. Wikipedia names Sega as publisher; the Atlus NA credit is from memory (verify). Loose US copies are ~$190 on PriceCharting.</x:v>
      </x:c>
      <x:c r="AL339" s="10" t="n">
        <x:v>193.45</x:v>
      </x:c>
      <x:c r="AM339" s="10" t="n">
        <x:v>390.38</x:v>
      </x:c>
      <x:c r="AN339" s="10" t="n">
        <x:v>600</x:v>
      </x:c>
      <x:c r="AO339" s="9" t="str">
        <x:v>2026-10-21</x:v>
      </x:c>
      <x:c r="AP339" s="11" t="str">
        <x:f>HYPERLINK("https://www.pricecharting.com/game/sega-saturn/lunacy","PriceCharting")</x:f>
        <x:v>PriceCharting</x:v>
      </x:c>
      <x:c r="AQ339" s="9"/>
      <x:c r="AR339" s="9"/>
      <x:c r="AS339" s="9"/>
      <x:c r="AT339" s="9"/>
      <x:c r="AU339" s="9"/>
      <x:c r="AV339" s="9"/>
      <x:c r="AW339" s="9"/>
      <x:c r="AX339" s="9"/>
      <x:c r="AY339" s="9"/>
      <x:c r="AZ339" s="9"/>
      <x:c r="BA339" s="11" t="str">
        <x:f>HYPERLINK("https://www.mobygames.com/search/?q=Lunacy","MobyGames")</x:f>
        <x:v>MobyGames</x:v>
      </x:c>
      <x:c r="BB339" s="9" t="str">
        <x:v>65%</x:v>
      </x:c>
      <x:c r="BC339" s="9" t="str">
        <x:v>average of 6 reviews on Wikipedia (EGM, GSpot, GameFan, MAN!AC, NGen, Sega Saturn Magazine'' (UK))</x:v>
      </x:c>
      <x:c r="BD339" s="9" t="str">
        <x:f>HYPERLINK("https://en.wikipedia.org/wiki/Lunacy_%28video_game%29","Source")</x:f>
        <x:v>Source</x:v>
      </x:c>
      <x:c r="BE339" s="11" t="str">
        <x:f>HYPERLINK("https://en.wikipedia.org/wiki/Lunacy_(video_game)","Wikipedia")</x:f>
        <x:v>Wikipedia</x:v>
      </x:c>
      <x:c r="BF339" s="11" t="str">
        <x:f>HYPERLINK("https://backloggd.com/search/games/Lunacy/","Backloggd")</x:f>
        <x:v>Backloggd</x:v>
      </x:c>
      <x:c r="BG339" s="11" t="str">
        <x:f>HYPERLINK("https://segaretro.org/Lunacy","Sega Retro")</x:f>
        <x:v>Sega Retro</x:v>
      </x:c>
      <x:c r="BH339" s="9"/>
      <x:c r="BI339" s="12" t="str">
        <x:v>No</x:v>
      </x:c>
      <x:c r="BJ339" s="12" t="str"/>
      <x:c r="BK339" s="12" t="str">
        <x:v>No</x:v>
      </x:c>
      <x:c r="BL339" s="12" t="str"/>
      <x:c r="BM339" s="12" t="str"/>
      <x:c r="BN339" s="12" t="str"/>
      <x:c r="BO339" s="12" t="str"/>
      <x:c r="BP339" s="12" t="str"/>
      <x:c r="BQ339" s="12" t="str"/>
    </x:row>
    <x:row r="340">
      <x:c r="A340" s="9" t="str">
        <x:v>saturn-19</x:v>
      </x:c>
      <x:c r="B340" s="9" t="str">
        <x:v>enemy-zero</x:v>
      </x:c>
      <x:c r="C340" s="9" t="str">
        <x:v>Sega Saturn</x:v>
      </x:c>
      <x:c r="D340" s="9" t="str">
        <x:v>Enemy Zero</x:v>
      </x:c>
      <x:c r="E340" s="9" t="str">
        <x:v>エネミー・ゼロ (Enemy Zero)</x:v>
      </x:c>
      <x:c r="F340" s="9" t="str">
        <x:v>WARP</x:v>
      </x:c>
      <x:c r="G340" s="9" t="str">
        <x:v>WARP (JP), Sega (NA/EU)</x:v>
      </x:c>
      <x:c r="H340" s="9" t="n">
        <x:v>1996</x:v>
      </x:c>
      <x:c r="I340" s="9" t="str">
        <x:v>Yes</x:v>
      </x:c>
      <x:c r="J340" s="9" t="str">
        <x:v>Yes</x:v>
      </x:c>
      <x:c r="K340" s="9" t="str">
        <x:v>Yes</x:v>
      </x:c>
      <x:c r="L340" s="9" t="str">
        <x:v>No</x:v>
      </x:c>
      <x:c r="M340" s="9" t="str">
        <x:v>Survival horror / FMV adventure</x:v>
      </x:c>
      <x:c r="N340" s="9" t="str">
        <x:v>Pre-rendered CG</x:v>
      </x:c>
      <x:c r="O340" s="9" t="n">
        <x:v>6</x:v>
      </x:c>
      <x:c r="P340" s="9" t="str">
        <x:v>Pre-rendered CG</x:v>
      </x:c>
      <x:c r="Q340" s="9" t="str">
        <x:v>Released</x:v>
      </x:c>
      <x:c r="R340" s="9" t="str">
        <x:v>Original production</x:v>
      </x:c>
      <x:c r="S340" s="9" t="str">
        <x:v>Windows (1998)</x:v>
      </x:c>
      <x:c r="T340" s="9" t="str">
        <x:v>Laura (digital actress; voiced by Jill Cunniff in English, Yui Komazuka in Japanese); music by Michael Nyman; directed by Kenji Eno</x:v>
      </x:c>
      <x:c r="U340" s="9" t="n">
        <x:v>4</x:v>
      </x:c>
      <x:c r="V340" s="9" t="str">
        <x:v>Yes</x:v>
      </x:c>
      <x:c r="W340" s="9" t="str">
        <x:v>Standard Saturn pad</x:v>
      </x:c>
      <x:c r="X340" s="9" t="str">
        <x:v>Low–Med</x:v>
      </x:c>
      <x:c r="Y340" s="9" t="str">
        <x:v>Michael Nyman score (verify whether claimed)</x:v>
      </x:c>
      <x:c r="Z340" s="9" t="str">
        <x:v>6–10 hr</x:v>
      </x:c>
      <x:c r="AA340" s="9" t="str">
        <x:v>Kenji Eno's invisible-alien horror: you hunt monsters by sound alone, between long stretches of CG movie.</x:v>
      </x:c>
      <x:c r="AB340" s="9" t="str">
        <x:v>None known</x:v>
      </x:c>
      <x:c r="AC340" s="9" t="str">
        <x:v>Pre-rendered CG movies (TrueMotion compression) alternating with real-time 3D corridors</x:v>
      </x:c>
      <x:c r="AD340" s="9" t="str">
        <x:v>Very hard; limited saves and invisible enemies</x:v>
      </x:c>
      <x:c r="AE340" s="9" t="str">
        <x:v>One ending (verify)</x:v>
      </x:c>
      <x:c r="AF340" s="9" t="str">
        <x:v>Eno moved the game from PlayStation to Saturn as a protest against Sony; Michael Nyman composed the score.</x:v>
      </x:c>
      <x:c r="AG340" s="9" t="str">
        <x:v>JP Dec 13, 1996; NA Dec 1 and EU Dec 5, 1997 by Sega; 20-copy JP limited edition hand-delivered by Eno; JP Satakore budget reissue</x:v>
      </x:c>
      <x:c r="AH340" s="9" t="str">
        <x:v>No</x:v>
      </x:c>
      <x:c r="AI340" s="9" t="str">
        <x:v>Expensive</x:v>
      </x:c>
      <x:c r="AJ340" s="9"/>
      <x:c r="AK340" s="9" t="str">
        <x:v>Four discs: Disc 0 (opening) plus three game discs (Edge's review refers to the three game discs). Acclaim, which published D in the West, dropped Enemy Zero after the platform switch, so Sega published it. Expensive CIB in US.</x:v>
      </x:c>
      <x:c r="AL340" s="10" t="n">
        <x:v>161.84</x:v>
      </x:c>
      <x:c r="AM340" s="10" t="n">
        <x:v>244.06</x:v>
      </x:c>
      <x:c r="AN340" s="10" t="n">
        <x:v>345.01</x:v>
      </x:c>
      <x:c r="AO340" s="9" t="str">
        <x:v>2026-10-21</x:v>
      </x:c>
      <x:c r="AP340" s="11" t="str">
        <x:f>HYPERLINK("https://www.pricecharting.com/game/sega-saturn/enemy-zero","PriceCharting")</x:f>
        <x:v>PriceCharting</x:v>
      </x:c>
      <x:c r="AQ340" s="9"/>
      <x:c r="AR340" s="9"/>
      <x:c r="AS340" s="9"/>
      <x:c r="AT340" s="9"/>
      <x:c r="AU340" s="9"/>
      <x:c r="AV340" s="9"/>
      <x:c r="AW340" s="9"/>
      <x:c r="AX340" s="9"/>
      <x:c r="AY340" s="9" t="str">
        <x:v>73%</x:v>
      </x:c>
      <x:c r="AZ340" s="9" t="str">
        <x:v>3.1</x:v>
      </x:c>
      <x:c r="BA340" s="11" t="str">
        <x:f>HYPERLINK("https://www.mobygames.com/search/?q=Enemy+Zero","MobyGames")</x:f>
        <x:v>MobyGames</x:v>
      </x:c>
      <x:c r="BB340" s="9" t="str">
        <x:v>77%</x:v>
      </x:c>
      <x:c r="BC340" s="9" t="str">
        <x:v>average of 9 reviews on Wikipedia (CNG, CP, EGM, EPD, Edge, GSpot, MMS, NGen, Sega Saturn Magazine)</x:v>
      </x:c>
      <x:c r="BD340" s="9" t="str">
        <x:f>HYPERLINK("https://en.wikipedia.org/wiki/Enemy_Zero","Source")</x:f>
        <x:v>Source</x:v>
      </x:c>
      <x:c r="BE340" s="11" t="str">
        <x:f>HYPERLINK("https://en.wikipedia.org/wiki/Enemy_Zero","Wikipedia")</x:f>
        <x:v>Wikipedia</x:v>
      </x:c>
      <x:c r="BF340" s="11" t="str">
        <x:f>HYPERLINK("https://backloggd.com/search/games/Enemy%20Zero/","Backloggd")</x:f>
        <x:v>Backloggd</x:v>
      </x:c>
      <x:c r="BG340" s="11" t="str">
        <x:f>HYPERLINK("https://segaretro.org/Enemy_Zero","Sega Retro")</x:f>
        <x:v>Sega Retro</x:v>
      </x:c>
      <x:c r="BH340" s="9"/>
      <x:c r="BI340" s="12" t="str">
        <x:v>No</x:v>
      </x:c>
      <x:c r="BJ340" s="12" t="str"/>
      <x:c r="BK340" s="12" t="str">
        <x:v>No</x:v>
      </x:c>
      <x:c r="BL340" s="12" t="str"/>
      <x:c r="BM340" s="12" t="str"/>
      <x:c r="BN340" s="12" t="str"/>
      <x:c r="BO340" s="12" t="str"/>
      <x:c r="BP340" s="12" t="str"/>
      <x:c r="BQ340" s="12" t="str"/>
    </x:row>
    <x:row r="341">
      <x:c r="A341" s="9" t="str">
        <x:v>saturn-20</x:v>
      </x:c>
      <x:c r="B341" s="9" t="str">
        <x:v>d</x:v>
      </x:c>
      <x:c r="C341" s="9" t="str">
        <x:v>Sega Saturn</x:v>
      </x:c>
      <x:c r="D341" s="9" t="str">
        <x:v>D</x:v>
      </x:c>
      <x:c r="E341" s="9" t="str">
        <x:v>D no Shokutaku (Dの食卓) (JP)</x:v>
      </x:c>
      <x:c r="F341" s="9" t="str">
        <x:v>WARP</x:v>
      </x:c>
      <x:c r="G341" s="9" t="str">
        <x:v>Acclaim Entertainment (JP/NA/EU)</x:v>
      </x:c>
      <x:c r="H341" s="9" t="n">
        <x:v>1995</x:v>
      </x:c>
      <x:c r="I341" s="9" t="str">
        <x:v>Yes</x:v>
      </x:c>
      <x:c r="J341" s="9" t="str">
        <x:v>Yes</x:v>
      </x:c>
      <x:c r="K341" s="9" t="str">
        <x:v>Yes</x:v>
      </x:c>
      <x:c r="L341" s="9" t="str">
        <x:v>No</x:v>
      </x:c>
      <x:c r="M341" s="9" t="str">
        <x:v>Horror FMV adventure</x:v>
      </x:c>
      <x:c r="N341" s="9" t="str">
        <x:v>Pre-rendered CG</x:v>
      </x:c>
      <x:c r="O341" s="9" t="n">
        <x:v>9</x:v>
      </x:c>
      <x:c r="P341" s="9" t="str">
        <x:v>Pre-rendered CG</x:v>
      </x:c>
      <x:c r="Q341" s="9" t="str">
        <x:v>Released</x:v>
      </x:c>
      <x:c r="R341" s="9" t="str">
        <x:v>Original production (3DO original, 1995)</x:v>
      </x:c>
      <x:c r="S341" s="9" t="str">
        <x:v>3DO, PlayStation, Windows</x:v>
      </x:c>
      <x:c r="T341" s="9" t="str">
        <x:v>Laura (digital actress); directed and scored by Kenji Eno</x:v>
      </x:c>
      <x:c r="U341" s="9" t="n">
        <x:v>2</x:v>
      </x:c>
      <x:c r="V341" s="9" t="str">
        <x:v>No</x:v>
      </x:c>
      <x:c r="W341" s="9" t="str">
        <x:v>Standard Saturn pad</x:v>
      </x:c>
      <x:c r="X341" s="9" t="str">
        <x:v>Low</x:v>
      </x:c>
      <x:c r="Y341" s="9" t="str"/>
      <x:c r="Z341" s="9" t="str">
        <x:v>2 hr (real-time limit)</x:v>
      </x:c>
      <x:c r="AA341" s="9" t="str">
        <x:v>One two-hour, no-save, no-pause horror movie: Laura must solve her father's hospital massacre before time runs out.</x:v>
      </x:c>
      <x:c r="AB341" s="9" t="str">
        <x:v>None known</x:v>
      </x:c>
      <x:c r="AC341" s="9" t="str">
        <x:v>Full-screen pre-rendered CG video throughout (verify fps)</x:v>
      </x:c>
      <x:c r="AD341" s="9" t="str">
        <x:v>Puzzles moderate; the 2-hour no-pause limit is the challenge</x:v>
      </x:c>
      <x:c r="AE341" s="9" t="str">
        <x:v>Multiple endings (verify count)</x:v>
      </x:c>
      <x:c r="AF341" s="9" t="str">
        <x:v>Eno submitted a clean master for approval and swapped in the gory cut on the flight to the US manufacturers (3DO). The Saturn version topped the Japanese charts in its first week and cut the 3DO load times to almost nothing.</x:v>
      </x:c>
      <x:c r="AG341" s="9" t="str">
        <x:v>JP D no Shokutaku; NA/PAL by Acclaim</x:v>
      </x:c>
      <x:c r="AH341" s="9" t="str">
        <x:v>No (Saturn version); the DOS version is on GOG and Steam (Nightdive, 2016)</x:v>
      </x:c>
      <x:c r="AI341" s="9" t="str">
        <x:v>Easy</x:v>
      </x:c>
      <x:c r="AJ341" s="9"/>
      <x:c r="AK341" s="9" t="str">
        <x:v>Two discs on Saturn (NA listings sell it as 2 discs). Acclaim published the Saturn version in NA and Europe (Wikipedia, Enemy Zero article); PAL release also supported by Sega Saturn Magazine and GamesMaster coverage. JP Saturn publisher unconfirmed (verify).</x:v>
      </x:c>
      <x:c r="AL341" s="10" t="n">
        <x:v>30.44</x:v>
      </x:c>
      <x:c r="AM341" s="10" t="n">
        <x:v>79.99</x:v>
      </x:c>
      <x:c r="AN341" s="10" t="n">
        <x:v>229.99</x:v>
      </x:c>
      <x:c r="AO341" s="9" t="str">
        <x:v>2026-10-21</x:v>
      </x:c>
      <x:c r="AP341" s="11" t="str">
        <x:f>HYPERLINK("https://www.pricecharting.com/game/sega-saturn/d","PriceCharting")</x:f>
        <x:v>PriceCharting</x:v>
      </x:c>
      <x:c r="AQ341" s="9"/>
      <x:c r="AR341" s="9"/>
      <x:c r="AS341" s="9"/>
      <x:c r="AT341" s="9"/>
      <x:c r="AU341" s="9"/>
      <x:c r="AV341" s="9"/>
      <x:c r="AW341" s="9"/>
      <x:c r="AX341" s="9"/>
      <x:c r="AY341" s="9"/>
      <x:c r="AZ341" s="9"/>
      <x:c r="BA341" s="11" t="str">
        <x:f>HYPERLINK("https://www.mobygames.com/search/?q=D","MobyGames")</x:f>
        <x:v>MobyGames</x:v>
      </x:c>
      <x:c r="BB341" s="9" t="str">
        <x:v>72%</x:v>
      </x:c>
      <x:c r="BC341" s="9" t="str">
        <x:v>average of 6 reviews on Wikipedia (Allgame, CVG, Fam, GI, GMaster, Sega Saturn Magazine)</x:v>
      </x:c>
      <x:c r="BD341" s="9" t="str">
        <x:f>HYPERLINK("https://en.wikipedia.org/wiki/D_%28video_game%29","Source")</x:f>
        <x:v>Source</x:v>
      </x:c>
      <x:c r="BE341" s="11" t="str">
        <x:f>HYPERLINK("https://en.wikipedia.org/wiki/D_(video_game)","Wikipedia")</x:f>
        <x:v>Wikipedia</x:v>
      </x:c>
      <x:c r="BF341" s="11" t="str">
        <x:f>HYPERLINK("https://backloggd.com/search/games/D/","Backloggd")</x:f>
        <x:v>Backloggd</x:v>
      </x:c>
      <x:c r="BG341" s="11" t="str">
        <x:f>HYPERLINK("https://segaretro.org/D","Sega Retro")</x:f>
        <x:v>Sega Retro</x:v>
      </x:c>
      <x:c r="BH341" s="9"/>
      <x:c r="BI341" s="12" t="str">
        <x:v>No</x:v>
      </x:c>
      <x:c r="BJ341" s="12" t="str"/>
      <x:c r="BK341" s="12" t="str">
        <x:v>No</x:v>
      </x:c>
      <x:c r="BL341" s="12" t="str"/>
      <x:c r="BM341" s="12" t="str"/>
      <x:c r="BN341" s="12" t="str"/>
      <x:c r="BO341" s="12" t="str"/>
      <x:c r="BP341" s="12" t="str"/>
      <x:c r="BQ341" s="12" t="str"/>
    </x:row>
    <x:row r="342">
      <x:c r="A342" s="9" t="str">
        <x:v>saturn-21</x:v>
      </x:c>
      <x:c r="B342" s="9" t="str">
        <x:v>mansion-of-hidden-souls-saturn</x:v>
      </x:c>
      <x:c r="C342" s="9" t="str">
        <x:v>Sega Saturn</x:v>
      </x:c>
      <x:c r="D342" s="9" t="str">
        <x:v>Mansion of Hidden Souls</x:v>
      </x:c>
      <x:c r="E342" s="9" t="str">
        <x:v>The Mansion of Hidden Souls; Shinsetsu Yumemi Yakata: Tobira no Oku ni Dareka ga... (真説・夢見館 扉の奥に誰かが…) (JP)</x:v>
      </x:c>
      <x:c r="F342" s="9" t="str">
        <x:v>System Sacom</x:v>
      </x:c>
      <x:c r="G342" s="9" t="str">
        <x:v>Sega</x:v>
      </x:c>
      <x:c r="H342" s="9" t="n">
        <x:v>1994</x:v>
      </x:c>
      <x:c r="I342" s="9" t="str">
        <x:v>Yes</x:v>
      </x:c>
      <x:c r="J342" s="9" t="str">
        <x:v>Yes</x:v>
      </x:c>
      <x:c r="K342" s="9" t="str">
        <x:v>Yes</x:v>
      </x:c>
      <x:c r="L342" s="9" t="str">
        <x:v>No</x:v>
      </x:c>
      <x:c r="M342" s="9" t="str">
        <x:v>First-person FMV adventure</x:v>
      </x:c>
      <x:c r="N342" s="9" t="str">
        <x:v>Pre-rendered CG</x:v>
      </x:c>
      <x:c r="O342" s="9" t="n">
        <x:v>7</x:v>
      </x:c>
      <x:c r="P342" s="9" t="str">
        <x:v>Pre-rendered CG</x:v>
      </x:c>
      <x:c r="Q342" s="9" t="str">
        <x:v>Released</x:v>
      </x:c>
      <x:c r="R342" s="9" t="str">
        <x:v>Sequel/remake of the Sega CD Mansion of Hidden Souls (1993)</x:v>
      </x:c>
      <x:c r="S342" s="9" t="str">
        <x:v>None (Sega CD game is a separate title)</x:v>
      </x:c>
      <x:c r="T342" s="9" t="str">
        <x:v>—</x:v>
      </x:c>
      <x:c r="U342" s="9" t="n">
        <x:v>1</x:v>
      </x:c>
      <x:c r="V342" s="9" t="str">
        <x:v>Yes</x:v>
      </x:c>
      <x:c r="W342" s="9" t="str">
        <x:v>Standard Saturn pad</x:v>
      </x:c>
      <x:c r="X342" s="9" t="str">
        <x:v>Low</x:v>
      </x:c>
      <x:c r="Y342" s="9" t="str"/>
      <x:c r="Z342" s="9" t="str">
        <x:v>1–3 hr</x:v>
      </x:c>
      <x:c r="AA342" s="9" t="str">
        <x:v>A cursed mansion full of people trapped as moths, explored through full-screen CG video on an early Saturn disc.</x:v>
      </x:c>
      <x:c r="AB342" s="9" t="str">
        <x:v>None known</x:v>
      </x:c>
      <x:c r="AC342" s="9" t="str">
        <x:v>Full-screen pre-rendered CG movement video (verify fps)</x:v>
      </x:c>
      <x:c r="AD342" s="9" t="str">
        <x:v>Easy</x:v>
      </x:c>
      <x:c r="AE342" s="9" t="str">
        <x:v>Multiple endings (verify)</x:v>
      </x:c>
      <x:c r="AF342" s="9" t="str">
        <x:v>System Sacom's follow-up to its Sega CD title; reviewers liked the graphics but laughed at the voice acting. GameFan named it the best Saturn graphic adventure/FMV game of 1995.</x:v>
      </x:c>
      <x:c r="AG342" s="9" t="str">
        <x:v>JP Dec 2, 1994; NA 1995; UK Nov 1995</x:v>
      </x:c>
      <x:c r="AH342" s="9" t="str">
        <x:v>No</x:v>
      </x:c>
      <x:c r="AI342" s="9" t="str">
        <x:v>Easy</x:v>
      </x:c>
      <x:c r="AJ342" s="9"/>
      <x:c r="AK342" s="9" t="str">
        <x:v>Not the same game as the Sega CD Mansion of Hidden Souls. JP release Dec 2, 1994; UK Nov 1995 (Wikipedia).</x:v>
      </x:c>
      <x:c r="AL342" s="10" t="n">
        <x:v>14.27</x:v>
      </x:c>
      <x:c r="AM342" s="10" t="n">
        <x:v>29.99</x:v>
      </x:c>
      <x:c r="AN342" s="10" t="n">
        <x:v>89.99</x:v>
      </x:c>
      <x:c r="AO342" s="9" t="str">
        <x:v>2026-10-21</x:v>
      </x:c>
      <x:c r="AP342" s="11" t="str">
        <x:f>HYPERLINK("https://www.pricecharting.com/game/sega-saturn/mansion-of-hidden-souls","PriceCharting")</x:f>
        <x:v>PriceCharting</x:v>
      </x:c>
      <x:c r="AQ342" s="9"/>
      <x:c r="AR342" s="9"/>
      <x:c r="AS342" s="9"/>
      <x:c r="AT342" s="9"/>
      <x:c r="AU342" s="9"/>
      <x:c r="AV342" s="9"/>
      <x:c r="AW342" s="9"/>
      <x:c r="AX342" s="9"/>
      <x:c r="AY342" s="9"/>
      <x:c r="AZ342" s="9"/>
      <x:c r="BA342" s="11" t="str">
        <x:f>HYPERLINK("https://www.mobygames.com/search/?q=Mansion+of+Hidden+Souls","MobyGames")</x:f>
        <x:v>MobyGames</x:v>
      </x:c>
      <x:c r="BB342" s="9" t="str">
        <x:v>63%</x:v>
      </x:c>
      <x:c r="BC342" s="9" t="str">
        <x:v>average of 5 reviews on Wikipedia (Fam, Hyper, Maximum, NGen, Sega Saturn Magazine)</x:v>
      </x:c>
      <x:c r="BD342" s="9" t="str">
        <x:f>HYPERLINK("https://en.wikipedia.org/wiki/The_Mansion_of_Hidden_Souls_%28Sega_Saturn_video_game%29","Source")</x:f>
        <x:v>Source</x:v>
      </x:c>
      <x:c r="BE342" s="11" t="str">
        <x:f>HYPERLINK("https://en.wikipedia.org/wiki/The_Mansion_of_Hidden_Souls_(Sega_Saturn_video_game)","Wikipedia")</x:f>
        <x:v>Wikipedia</x:v>
      </x:c>
      <x:c r="BF342" s="11" t="str">
        <x:f>HYPERLINK("https://backloggd.com/search/games/Mansion%20of%20Hidden%20Souls/","Backloggd")</x:f>
        <x:v>Backloggd</x:v>
      </x:c>
      <x:c r="BG342" s="11" t="str">
        <x:f>HYPERLINK("https://segaretro.org/The_Mansion_of_Hidden_Souls","Sega Retro")</x:f>
        <x:v>Sega Retro</x:v>
      </x:c>
      <x:c r="BH342" s="9"/>
      <x:c r="BI342" s="12" t="str">
        <x:v>No</x:v>
      </x:c>
      <x:c r="BJ342" s="12" t="str"/>
      <x:c r="BK342" s="12" t="str">
        <x:v>No</x:v>
      </x:c>
      <x:c r="BL342" s="12" t="str"/>
      <x:c r="BM342" s="12" t="str"/>
      <x:c r="BN342" s="12" t="str"/>
      <x:c r="BO342" s="12" t="str"/>
      <x:c r="BP342" s="12" t="str"/>
      <x:c r="BQ342" s="12" t="str"/>
    </x:row>
    <x:row r="343">
      <x:c r="A343" s="9" t="str">
        <x:v>saturn-22</x:v>
      </x:c>
      <x:c r="B343" s="9" t="str">
        <x:v>the-horde</x:v>
      </x:c>
      <x:c r="C343" s="9" t="str">
        <x:v>Sega Saturn</x:v>
      </x:c>
      <x:c r="D343" s="9" t="str">
        <x:v>The Horde</x:v>
      </x:c>
      <x:c r="E343" s="9" t="str"/>
      <x:c r="F343" s="9" t="str">
        <x:v>Toys for Bob (original); Saturn version by Silicon Knights</x:v>
      </x:c>
      <x:c r="G343" s="9" t="str">
        <x:v>Crystal Dynamics (NA/EU)</x:v>
      </x:c>
      <x:c r="H343" s="9" t="n">
        <x:v>1996</x:v>
      </x:c>
      <x:c r="I343" s="9" t="str">
        <x:v>Yes</x:v>
      </x:c>
      <x:c r="J343" s="9" t="str">
        <x:v>No</x:v>
      </x:c>
      <x:c r="K343" s="9" t="str">
        <x:v>Yes</x:v>
      </x:c>
      <x:c r="L343" s="9" t="str">
        <x:v>No</x:v>
      </x:c>
      <x:c r="M343" s="9" t="str">
        <x:v>Action strategy</x:v>
      </x:c>
      <x:c r="N343" s="9" t="str">
        <x:v>Live-action</x:v>
      </x:c>
      <x:c r="O343" s="9" t="n">
        <x:v>3</x:v>
      </x:c>
      <x:c r="P343" s="9" t="str">
        <x:v>Cutscenes only</x:v>
      </x:c>
      <x:c r="Q343" s="9" t="str">
        <x:v>Released</x:v>
      </x:c>
      <x:c r="R343" s="9" t="str">
        <x:v>3DO original (1994)</x:v>
      </x:c>
      <x:c r="S343" s="9" t="str">
        <x:v>3DO, PC</x:v>
      </x:c>
      <x:c r="T343" s="9" t="str">
        <x:v>Kirk Cameron (Chauncey), Michael Gregory (Kronus Maelor, the Chancellor)</x:v>
      </x:c>
      <x:c r="U343" s="9" t="n">
        <x:v>1</x:v>
      </x:c>
      <x:c r="V343" s="9" t="str">
        <x:v>Yes (verify)</x:v>
      </x:c>
      <x:c r="W343" s="9" t="str">
        <x:v>Standard Saturn pad</x:v>
      </x:c>
      <x:c r="X343" s="9" t="str">
        <x:v>Low</x:v>
      </x:c>
      <x:c r="Y343" s="9" t="str"/>
      <x:c r="Z343" s="9" t="str">
        <x:v>5–8 hr</x:v>
      </x:c>
      <x:c r="AA343" s="9" t="str">
        <x:v>Kirk Cameron as a serving boy fighting hungry Hordlings, with hammy live-action cutscenes between seasons.</x:v>
      </x:c>
      <x:c r="AB343" s="9" t="str">
        <x:v>None known</x:v>
      </x:c>
      <x:c r="AC343" s="9" t="str">
        <x:v>Live-action cutscenes and hordling TV propaganda clips; GamePro called the Saturn FMV exceptionally clean</x:v>
      </x:c>
      <x:c r="AD343" s="9" t="str">
        <x:v>Moderate</x:v>
      </x:c>
      <x:c r="AE343" s="9" t="str">
        <x:v>One ending</x:v>
      </x:c>
      <x:c r="AF343" s="9" t="str">
        <x:v>Toys for Bob's follow-up to Star Control; originally a 3DO showcase.</x:v>
      </x:c>
      <x:c r="AG343" s="9" t="str">
        <x:v>NA and PAL; JP release — verify</x:v>
      </x:c>
      <x:c r="AH343" s="9" t="str">
        <x:v>No</x:v>
      </x:c>
      <x:c r="AI343" s="9" t="str">
        <x:v>Easy</x:v>
      </x:c>
      <x:c r="AJ343" s="9"/>
      <x:c r="AK343" s="9" t="str">
        <x:v>NA and PAL Saturn releases supported by GamePro and Sega Saturn Magazine (90%) reviews. Live-action footage was shot in two days. jp set false pending verification (an FM Towns port exists).</x:v>
      </x:c>
      <x:c r="AL343" s="10" t="n">
        <x:v>33.36</x:v>
      </x:c>
      <x:c r="AM343" s="10" t="n">
        <x:v>49.99</x:v>
      </x:c>
      <x:c r="AN343" s="10" t="n">
        <x:v>85.13</x:v>
      </x:c>
      <x:c r="AO343" s="9" t="str">
        <x:v>2026-10-21</x:v>
      </x:c>
      <x:c r="AP343" s="11" t="str">
        <x:f>HYPERLINK("https://www.pricecharting.com/game/sega-saturn/the-horde","PriceCharting")</x:f>
        <x:v>PriceCharting</x:v>
      </x:c>
      <x:c r="AQ343" s="9"/>
      <x:c r="AR343" s="9"/>
      <x:c r="AS343" s="9"/>
      <x:c r="AT343" s="9"/>
      <x:c r="AU343" s="9"/>
      <x:c r="AV343" s="9"/>
      <x:c r="AW343" s="9"/>
      <x:c r="AX343" s="9"/>
      <x:c r="AY343" s="9" t="str">
        <x:v>66%</x:v>
      </x:c>
      <x:c r="AZ343" s="9" t="str">
        <x:v>3.5</x:v>
      </x:c>
      <x:c r="BA343" s="11" t="str">
        <x:f>HYPERLINK("https://www.mobygames.com/search/?q=The+Horde","MobyGames")</x:f>
        <x:v>MobyGames</x:v>
      </x:c>
      <x:c r="BB343" s="9" t="str">
        <x:v>60%</x:v>
      </x:c>
      <x:c r="BC343" s="9" t="str">
        <x:v>GameRankings, 2 reviews</x:v>
      </x:c>
      <x:c r="BD343" s="9" t="str">
        <x:f>HYPERLINK("https://web.archive.org/web/20191209012440id_/https://www.gamerankings.com/saturn/573966-the-horde/","Source")</x:f>
        <x:v>Source</x:v>
      </x:c>
      <x:c r="BE343" s="11" t="str">
        <x:f>HYPERLINK("https://en.wikipedia.org/wiki/The_Horde_(video_game)","Wikipedia")</x:f>
        <x:v>Wikipedia</x:v>
      </x:c>
      <x:c r="BF343" s="11" t="str">
        <x:f>HYPERLINK("https://backloggd.com/search/games/The%20Horde/","Backloggd")</x:f>
        <x:v>Backloggd</x:v>
      </x:c>
      <x:c r="BG343" s="11" t="str">
        <x:f>HYPERLINK("https://segaretro.org/The_Horde","Sega Retro")</x:f>
        <x:v>Sega Retro</x:v>
      </x:c>
      <x:c r="BH343" s="9"/>
      <x:c r="BI343" s="12" t="str">
        <x:v>No</x:v>
      </x:c>
      <x:c r="BJ343" s="12" t="str"/>
      <x:c r="BK343" s="12" t="str">
        <x:v>No</x:v>
      </x:c>
      <x:c r="BL343" s="12" t="str"/>
      <x:c r="BM343" s="12" t="str"/>
      <x:c r="BN343" s="12" t="str"/>
      <x:c r="BO343" s="12" t="str"/>
      <x:c r="BP343" s="12" t="str"/>
      <x:c r="BQ343" s="12" t="str"/>
    </x:row>
    <x:row r="344">
      <x:c r="A344" s="9" t="str">
        <x:v>saturn-23</x:v>
      </x:c>
      <x:c r="B344" s="9" t="str">
        <x:v>jb-harold-blue-chicago-blues</x:v>
      </x:c>
      <x:c r="C344" s="9" t="str">
        <x:v>Sega Saturn</x:v>
      </x:c>
      <x:c r="D344" s="9" t="str">
        <x:v>J.B. Harold: Blue Chicago Blues</x:v>
      </x:c>
      <x:c r="E344" s="9" t="str">
        <x:v>Blue Chicago Blues (ブルー・シカゴ・ブルース)</x:v>
      </x:c>
      <x:c r="F344" s="9" t="str">
        <x:v>Riverhillsoft</x:v>
      </x:c>
      <x:c r="G344" s="9" t="str">
        <x:v>Riverhillsoft (JP)</x:v>
      </x:c>
      <x:c r="H344" s="9" t="n">
        <x:v>1995</x:v>
      </x:c>
      <x:c r="I344" s="9" t="str">
        <x:v>No</x:v>
      </x:c>
      <x:c r="J344" s="9" t="str">
        <x:v>Yes</x:v>
      </x:c>
      <x:c r="K344" s="9" t="str">
        <x:v>No</x:v>
      </x:c>
      <x:c r="L344" s="9" t="str">
        <x:v>No</x:v>
      </x:c>
      <x:c r="M344" s="9" t="str">
        <x:v>Live-action detective adventure</x:v>
      </x:c>
      <x:c r="N344" s="9" t="str">
        <x:v>Live-action</x:v>
      </x:c>
      <x:c r="O344" s="9" t="n">
        <x:v>7</x:v>
      </x:c>
      <x:c r="P344" s="9" t="str">
        <x:v>Interactive movie</x:v>
      </x:c>
      <x:c r="Q344" s="9" t="str">
        <x:v>Released</x:v>
      </x:c>
      <x:c r="R344" s="9" t="str">
        <x:v>Original production (J.B. Harold series); earlier on other CD platforms</x:v>
      </x:c>
      <x:c r="S344" s="9" t="str">
        <x:v>LaserActive / PC Engine Super CD / 3DO / PC-FX — verify which</x:v>
      </x:c>
      <x:c r="T344" s="9" t="str">
        <x:v>American actors filmed in Chicago — names verify</x:v>
      </x:c>
      <x:c r="U344" s="9" t="n">
        <x:v>2</x:v>
      </x:c>
      <x:c r="V344" s="9" t="str">
        <x:v>Yes (verify)</x:v>
      </x:c>
      <x:c r="W344" s="9" t="str">
        <x:v>Standard Saturn pad</x:v>
      </x:c>
      <x:c r="X344" s="9" t="str">
        <x:v>Low</x:v>
      </x:c>
      <x:c r="Y344" s="9" t="str"/>
      <x:c r="Z344" s="9" t="str">
        <x:v>4–6 hr</x:v>
      </x:c>
      <x:c r="AA344" s="9" t="str">
        <x:v>Riverhillsoft's live-action Chicago noir starring American actors, a Japan-only Saturn mystery now playable in English via fan patch.</x:v>
      </x:c>
      <x:c r="AB344" s="9" t="str">
        <x:v>None known</x:v>
      </x:c>
      <x:c r="AC344" s="9" t="str">
        <x:v>Live-action video, quality unknown (verify)</x:v>
      </x:c>
      <x:c r="AD344" s="9" t="str">
        <x:v>Moderate investigation</x:v>
      </x:c>
      <x:c r="AE344" s="9" t="str">
        <x:v>One ending (verify)</x:v>
      </x:c>
      <x:c r="AF344" s="9" t="str">
        <x:v>Considered a precursor to Hotel Dusk; an English fan patch for the Saturn version exists (cdromance).</x:v>
      </x:c>
      <x:c r="AG344" s="9" t="str">
        <x:v>JP only</x:v>
      </x:c>
      <x:c r="AH344" s="9" t="str">
        <x:v>No</x:v>
      </x:c>
      <x:c r="AI344" s="9" t="str">
        <x:v>Import</x:v>
      </x:c>
      <x:c r="AJ344" s="9"/>
      <x:c r="AK344" s="9" t="str">
        <x:v>Saturn version released Sep 22, 1995 in Japan (Japanese Wikipedia; fourth J.B. Harold game, first on LD-ROM² in 1994). Disc count 2 unconfirmed (verify). Cast names unconfirmed. No PriceCharting page located.</x:v>
      </x:c>
      <x:c r="AL344" s="10" t="n">
        <x:v>4.12</x:v>
      </x:c>
      <x:c r="AM344" s="10" t="n">
        <x:v>18.22</x:v>
      </x:c>
      <x:c r="AN344" s="10" t="n">
        <x:v>31</x:v>
      </x:c>
      <x:c r="AO344" s="9" t="str">
        <x:v>2026-10-21</x:v>
      </x:c>
      <x:c r="AP344" s="11" t="str">
        <x:f>HYPERLINK("https://www.pricecharting.com/search-products?q=J.B.+Harold%3A+Blue+Chicago+Blues+saturn&amp;type=prices","PriceCharting")</x:f>
        <x:v>PriceCharting</x:v>
      </x:c>
      <x:c r="AQ344" s="9"/>
      <x:c r="AR344" s="9"/>
      <x:c r="AS344" s="9"/>
      <x:c r="AT344" s="9"/>
      <x:c r="AU344" s="9"/>
      <x:c r="AV344" s="9"/>
      <x:c r="AW344" s="9"/>
      <x:c r="AX344" s="9"/>
      <x:c r="AY344" s="9"/>
      <x:c r="AZ344" s="9" t="str">
        <x:v>4.4</x:v>
      </x:c>
      <x:c r="BA344" s="11" t="str">
        <x:f>HYPERLINK("https://www.mobygames.com/search/?q=J.B.+Harold%3A+Blue+Chicago+Blues","MobyGames")</x:f>
        <x:v>MobyGames</x:v>
      </x:c>
      <x:c r="BB344" s="9"/>
      <x:c r="BC344" s="9"/>
      <x:c r="BD344" s="9"/>
      <x:c r="BE344" s="9"/>
      <x:c r="BF344" s="11" t="str">
        <x:f>HYPERLINK("https://backloggd.com/search/games/J.B.%20Harold%3A%20Blue%20Chicago%20Blues/","Backloggd")</x:f>
        <x:v>Backloggd</x:v>
      </x:c>
      <x:c r="BG344" s="9"/>
      <x:c r="BH344" s="9"/>
      <x:c r="BI344" s="12" t="str">
        <x:v>No</x:v>
      </x:c>
      <x:c r="BJ344" s="12" t="str"/>
      <x:c r="BK344" s="12" t="str">
        <x:v>No</x:v>
      </x:c>
      <x:c r="BL344" s="12" t="str"/>
      <x:c r="BM344" s="12" t="str"/>
      <x:c r="BN344" s="12" t="str"/>
      <x:c r="BO344" s="12" t="str"/>
      <x:c r="BP344" s="12" t="str"/>
      <x:c r="BQ344" s="12" t="str"/>
    </x:row>
    <x:row r="345">
      <x:c r="A345" s="9" t="str">
        <x:v>saturn-24</x:v>
      </x:c>
      <x:c r="B345" s="9" t="str">
        <x:v>wan-chai-connection</x:v>
      </x:c>
      <x:c r="C345" s="9" t="str">
        <x:v>Sega Saturn</x:v>
      </x:c>
      <x:c r="D345" s="9" t="str">
        <x:v>Wan Chai Connection</x:v>
      </x:c>
      <x:c r="E345" s="9" t="str">
        <x:v>ワンチャイコネクション (WanChai Connection)</x:v>
      </x:c>
      <x:c r="F345" s="9" t="str">
        <x:v>Micronet</x:v>
      </x:c>
      <x:c r="G345" s="9" t="str">
        <x:v>Sega</x:v>
      </x:c>
      <x:c r="H345" s="9" t="n">
        <x:v>1994</x:v>
      </x:c>
      <x:c r="I345" s="9" t="str">
        <x:v>No</x:v>
      </x:c>
      <x:c r="J345" s="9" t="str">
        <x:v>Yes</x:v>
      </x:c>
      <x:c r="K345" s="9" t="str">
        <x:v>No</x:v>
      </x:c>
      <x:c r="L345" s="9" t="str">
        <x:v>No</x:v>
      </x:c>
      <x:c r="M345" s="9" t="str">
        <x:v>Detective adventure</x:v>
      </x:c>
      <x:c r="N345" s="9" t="str">
        <x:v>Live-action</x:v>
      </x:c>
      <x:c r="O345" s="9" t="n">
        <x:v>6</x:v>
      </x:c>
      <x:c r="P345" s="9" t="str">
        <x:v>FMV adventure</x:v>
      </x:c>
      <x:c r="Q345" s="9" t="str">
        <x:v>Released</x:v>
      </x:c>
      <x:c r="R345" s="9" t="str">
        <x:v>Original production; story and screenplay by James Miki</x:v>
      </x:c>
      <x:c r="S345" s="9" t="str">
        <x:v>None</x:v>
      </x:c>
      <x:c r="T345" s="9" t="str">
        <x:v>Toshikazu Nunokawa (Michael Lee), Aya Sugimoto (Lai Yin), Satomi Furuta (Patricia Chen)</x:v>
      </x:c>
      <x:c r="U345" s="9" t="n">
        <x:v>2</x:v>
      </x:c>
      <x:c r="V345" s="9" t="str">
        <x:v>Yes</x:v>
      </x:c>
      <x:c r="W345" s="9" t="str">
        <x:v>Standard pad; Saturn internal memory for saves</x:v>
      </x:c>
      <x:c r="X345" s="9" t="str">
        <x:v>Low</x:v>
      </x:c>
      <x:c r="Y345" s="9" t="str"/>
      <x:c r="Z345" s="9" t="str">
        <x:v>5–8 hr (verify)</x:v>
      </x:c>
      <x:c r="AA345" s="9" t="str">
        <x:v>One of the Saturn's two first-party Japanese launch titles: a live-action Hong Kong murder mystery released the day the console came out.</x:v>
      </x:c>
      <x:c r="AB345" s="9" t="str">
        <x:v>None known</x:v>
      </x:c>
      <x:c r="AC345" s="9" t="str">
        <x:v>Small software-decoded windows (no MPEG hardware at launch); live-action dialogue scenes over real Hong Kong photo backgrounds</x:v>
      </x:c>
      <x:c r="AD345" s="9" t="str">
        <x:v>Moderate; command-menu deduction with a 3D clue-search mode</x:v>
      </x:c>
      <x:c r="AE345" s="9" t="str">
        <x:v>Single main ending (verify)</x:v>
      </x:c>
      <x:c r="AF345" s="9" t="str">
        <x:v>Released 22 Nov 1994 alongside the Japanese Saturn. Set in near-future 1997 Hong Kong, just before the handover; backgrounds are real Hong Kong photographs.</x:v>
      </x:c>
      <x:c r="AG345" s="9" t="str">
        <x:v>Japanese release only (GS-9007, 2 discs, ¥7,800)</x:v>
      </x:c>
      <x:c r="AH345" s="9" t="str">
        <x:v>No</x:v>
      </x:c>
      <x:c r="AI345" s="9" t="str">
        <x:v>Import</x:v>
      </x:c>
      <x:c r="AJ345" s="9"/>
      <x:c r="AK345" s="9" t="str">
        <x:v>Release date and cast from Japanese Wikipedia mirror and chromagi Saturn catalogue. Famitsu Cross Review 22/40. Gameplay: Move/Open/Examine/Evidence commands, chapters split by live-action scenes.</x:v>
      </x:c>
      <x:c r="AL345" s="10" t="n">
        <x:v>2</x:v>
      </x:c>
      <x:c r="AM345" s="10" t="n">
        <x:v>2.23</x:v>
      </x:c>
      <x:c r="AN345" s="10" t="n">
        <x:v>4</x:v>
      </x:c>
      <x:c r="AO345" s="9" t="str">
        <x:v>2026-10-21</x:v>
      </x:c>
      <x:c r="AP345" s="11" t="str">
        <x:f>HYPERLINK("https://www.pricecharting.com/game/jp-sega-saturn/wanchai-connection","PriceCharting")</x:f>
        <x:v>PriceCharting</x:v>
      </x:c>
      <x:c r="AQ345" s="9"/>
      <x:c r="AR345" s="9"/>
      <x:c r="AS345" s="9"/>
      <x:c r="AT345" s="9"/>
      <x:c r="AU345" s="9"/>
      <x:c r="AV345" s="9"/>
      <x:c r="AW345" s="9"/>
      <x:c r="AX345" s="9"/>
      <x:c r="AY345" s="9"/>
      <x:c r="AZ345" s="9"/>
      <x:c r="BA345" s="11" t="str">
        <x:f>HYPERLINK("https://www.mobygames.com/search/?q=Wan+Chai+Connection","MobyGames")</x:f>
        <x:v>MobyGames</x:v>
      </x:c>
      <x:c r="BB345" s="9" t="str">
        <x:v>55%</x:v>
      </x:c>
      <x:c r="BC345" s="9" t="str">
        <x:v>Famitsu Cross Review on Japanese Wikipedia</x:v>
      </x:c>
      <x:c r="BD345" s="9" t="str">
        <x:f>HYPERLINK("https://ja.wikipedia.org/wiki/%E3%83%AF%E3%83%B3%E3%83%81%E3%83%A3%E3%82%A4%E3%82%B3%E3%83%8D%E3%82%AF%E3%82%B7%E3%83%A7%E3%83%B3","Source")</x:f>
        <x:v>Source</x:v>
      </x:c>
      <x:c r="BE345" s="9"/>
      <x:c r="BF345" s="11" t="str">
        <x:f>HYPERLINK("https://backloggd.com/search/games/Wan%20Chai%20Connection/","Backloggd")</x:f>
        <x:v>Backloggd</x:v>
      </x:c>
      <x:c r="BG345" s="9"/>
      <x:c r="BH345" s="9"/>
      <x:c r="BI345" s="12" t="str">
        <x:v>No</x:v>
      </x:c>
      <x:c r="BJ345" s="12" t="str"/>
      <x:c r="BK345" s="12" t="str">
        <x:v>No</x:v>
      </x:c>
      <x:c r="BL345" s="12" t="str"/>
      <x:c r="BM345" s="12" t="str"/>
      <x:c r="BN345" s="12" t="str"/>
      <x:c r="BO345" s="12" t="str"/>
      <x:c r="BP345" s="12" t="str"/>
      <x:c r="BQ345" s="12" t="str"/>
    </x:row>
    <x:row r="346">
      <x:c r="A346" s="9" t="str">
        <x:v>saturn-25</x:v>
      </x:c>
      <x:c r="B346" s="9" t="str">
        <x:v>rampo</x:v>
      </x:c>
      <x:c r="C346" s="9" t="str">
        <x:v>Sega Saturn</x:v>
      </x:c>
      <x:c r="D346" s="9" t="str">
        <x:v>Rampo</x:v>
      </x:c>
      <x:c r="E346" s="9" t="str">
        <x:v>RAMPO (乱歩)</x:v>
      </x:c>
      <x:c r="F346" s="9" t="str">
        <x:v>System Sacom</x:v>
      </x:c>
      <x:c r="G346" s="9" t="str">
        <x:v>Sega (joint project with Shochiku)</x:v>
      </x:c>
      <x:c r="H346" s="9" t="n">
        <x:v>1995</x:v>
      </x:c>
      <x:c r="I346" s="9" t="str">
        <x:v>No</x:v>
      </x:c>
      <x:c r="J346" s="9" t="str">
        <x:v>Yes</x:v>
      </x:c>
      <x:c r="K346" s="9" t="str">
        <x:v>No</x:v>
      </x:c>
      <x:c r="L346" s="9" t="str">
        <x:v>No</x:v>
      </x:c>
      <x:c r="M346" s="9" t="str">
        <x:v>Interactive mystery adventure</x:v>
      </x:c>
      <x:c r="N346" s="9" t="str">
        <x:v>Live-action + CG</x:v>
      </x:c>
      <x:c r="O346" s="9" t="n">
        <x:v>8</x:v>
      </x:c>
      <x:c r="P346" s="9" t="str">
        <x:v>Interactive movie</x:v>
      </x:c>
      <x:c r="Q346" s="9" t="str">
        <x:v>Released</x:v>
      </x:c>
      <x:c r="R346" s="9" t="str">
        <x:v>Film license: Rampo (1994, Shochiku), Edogawa Ranpo centenary</x:v>
      </x:c>
      <x:c r="S346" s="9" t="str">
        <x:v>None</x:v>
      </x:c>
      <x:c r="T346" s="9" t="str">
        <x:v>Masahiro Motoki (Kogorō Akechi), Naoto Takenaka (Edogawa Rampo), Michiko Hada (Shizuko), Teruyuki Kagawa (Seishi Yokomizo): the film's cast, roles as in the film</x:v>
      </x:c>
      <x:c r="U346" s="9" t="n">
        <x:v>1</x:v>
      </x:c>
      <x:c r="V346" s="9" t="str">
        <x:v>Unknown — verify</x:v>
      </x:c>
      <x:c r="W346" s="9" t="str">
        <x:v>Standard pad; Saturn internal memory / backup cart for saves</x:v>
      </x:c>
      <x:c r="X346" s="9" t="str">
        <x:v>Med</x:v>
      </x:c>
      <x:c r="Y346" s="9" t="str">
        <x:v>Footage tied to the Shochiku film Rampo; film score possibly reused (verify)</x:v>
      </x:c>
      <x:c r="Z346" s="9" t="str">
        <x:v>2–4 hr (verify)</x:v>
      </x:c>
      <x:c r="AA346" s="9" t="str">
        <x:v>A Shochiku film tie-in with no text windows at all: you steer the story by answering characters with emotions instead of menu choices.</x:v>
      </x:c>
      <x:c r="AB346" s="9" t="str">
        <x:v>None known</x:v>
      </x:c>
      <x:c r="AC346" s="9" t="str">
        <x:v>Live-action shot on the film's sets plus game-only location sets, composited with CG; window size and frame rate verify</x:v>
      </x:c>
      <x:c r="AD346" s="9" t="str">
        <x:v>Low; the game grades your detective skill on five levels</x:v>
      </x:c>
      <x:c r="AE346" s="9" t="str">
        <x:v>Multiple; how you treat characters changes the story and ending, with a five-level detective rating</x:v>
      </x:c>
      <x:c r="AF346" s="9" t="str">
        <x:v>Made alongside the 1994 film Rampo; live action was shot on the film's own sets with the film's cast, plus extra characters who never appear in the movie. Famitsu scored it 26/40.</x:v>
      </x:c>
      <x:c r="AG346" s="9" t="str">
        <x:v>Japanese release only</x:v>
      </x:c>
      <x:c r="AH346" s="9" t="str">
        <x:v>No</x:v>
      </x:c>
      <x:c r="AI346" s="9" t="str">
        <x:v>Import</x:v>
      </x:c>
      <x:c r="AJ346" s="9"/>
      <x:c r="AK346" s="9" t="str">
        <x:v>Release 24 Feb 1995 (Wikipedia list). The en Wikipedia film article has a short section on this Saturn game. Emotion-input system later reused in Shin-setsu Yumemikan. Disc count not confirmed.</x:v>
      </x:c>
      <x:c r="AL346" s="10" t="n">
        <x:v>7.16</x:v>
      </x:c>
      <x:c r="AM346" s="10" t="n">
        <x:v>7.81</x:v>
      </x:c>
      <x:c r="AN346" s="10" t="n">
        <x:v>13</x:v>
      </x:c>
      <x:c r="AO346" s="9" t="str">
        <x:v>2026-10-21</x:v>
      </x:c>
      <x:c r="AP346" s="11" t="str">
        <x:f>HYPERLINK("https://www.pricecharting.com/game/jp-sega-saturn/rampo","PriceCharting")</x:f>
        <x:v>PriceCharting</x:v>
      </x:c>
      <x:c r="AQ346" s="9"/>
      <x:c r="AR346" s="9"/>
      <x:c r="AS346" s="9"/>
      <x:c r="AT346" s="9"/>
      <x:c r="AU346" s="9"/>
      <x:c r="AV346" s="9"/>
      <x:c r="AW346" s="9"/>
      <x:c r="AX346" s="9"/>
      <x:c r="AY346" s="9"/>
      <x:c r="AZ346" s="9"/>
      <x:c r="BA346" s="11" t="str">
        <x:f>HYPERLINK("https://www.mobygames.com/search/?q=Rampo","MobyGames")</x:f>
        <x:v>MobyGames</x:v>
      </x:c>
      <x:c r="BB346" s="9"/>
      <x:c r="BC346" s="9"/>
      <x:c r="BD346" s="9"/>
      <x:c r="BE346" s="11" t="str">
        <x:f>HYPERLINK("https://en.wikipedia.org/wiki/Rampo_(film)","Wikipedia")</x:f>
        <x:v>Wikipedia</x:v>
      </x:c>
      <x:c r="BF346" s="11" t="str">
        <x:f>HYPERLINK("https://backloggd.com/search/games/Rampo/","Backloggd")</x:f>
        <x:v>Backloggd</x:v>
      </x:c>
      <x:c r="BG346" s="9"/>
      <x:c r="BH346" s="9"/>
      <x:c r="BI346" s="12" t="str">
        <x:v>No</x:v>
      </x:c>
      <x:c r="BJ346" s="12" t="str"/>
      <x:c r="BK346" s="12" t="str">
        <x:v>No</x:v>
      </x:c>
      <x:c r="BL346" s="12" t="str"/>
      <x:c r="BM346" s="12" t="str"/>
      <x:c r="BN346" s="12" t="str"/>
      <x:c r="BO346" s="12" t="str"/>
      <x:c r="BP346" s="12" t="str"/>
      <x:c r="BQ346" s="12" t="str"/>
    </x:row>
    <x:row r="347">
      <x:c r="A347" s="9" t="str">
        <x:v>saturn-26</x:v>
      </x:c>
      <x:c r="B347" s="9" t="str">
        <x:v>tokyo-shadow</x:v>
      </x:c>
      <x:c r="C347" s="9" t="str">
        <x:v>Sega Saturn</x:v>
      </x:c>
      <x:c r="D347" s="9" t="str">
        <x:v>Tokyo Shadow</x:v>
      </x:c>
      <x:c r="E347" s="9" t="str">
        <x:v>東京シャドウ</x:v>
      </x:c>
      <x:c r="F347" s="9" t="str">
        <x:v>Unknown — verify</x:v>
      </x:c>
      <x:c r="G347" s="9" t="str">
        <x:v>Taito (verify)</x:v>
      </x:c>
      <x:c r="H347" s="9" t="n">
        <x:v>1997</x:v>
      </x:c>
      <x:c r="I347" s="9" t="str">
        <x:v>No</x:v>
      </x:c>
      <x:c r="J347" s="9" t="str">
        <x:v>Yes</x:v>
      </x:c>
      <x:c r="K347" s="9" t="str">
        <x:v>No</x:v>
      </x:c>
      <x:c r="L347" s="9" t="str">
        <x:v>No</x:v>
      </x:c>
      <x:c r="M347" s="9" t="str">
        <x:v>Supernatural horror adventure</x:v>
      </x:c>
      <x:c r="N347" s="9" t="str">
        <x:v>Live-action + CG</x:v>
      </x:c>
      <x:c r="O347" s="9" t="n">
        <x:v>8</x:v>
      </x:c>
      <x:c r="P347" s="9" t="str">
        <x:v>Interactive movie</x:v>
      </x:c>
      <x:c r="Q347" s="9" t="str">
        <x:v>Released</x:v>
      </x:c>
      <x:c r="R347" s="9" t="str">
        <x:v>Novel series by Fumi Nishitani (Dengeki Bunko, 1994–96)</x:v>
      </x:c>
      <x:c r="S347" s="9" t="str">
        <x:v>PlayStation</x:v>
      </x:c>
      <x:c r="T347" s="9" t="str">
        <x:v>Makoto Araki (Hide), Mai Hosho (Kyoko Takashiro), Ayumi Kikuchi (Akiko Irikiin), Isabel Eves (Katherine S. Byrne), Nagare Hagiwara (Reijiro Takashiro), Akira Takarada (tree spirit)</x:v>
      </x:c>
      <x:c r="U347" s="9" t="n">
        <x:v>2</x:v>
      </x:c>
      <x:c r="V347" s="9" t="str">
        <x:v>Yes (verify)</x:v>
      </x:c>
      <x:c r="W347" s="9" t="str">
        <x:v>Standard pad; Saturn internal memory / backup cart for saves</x:v>
      </x:c>
      <x:c r="X347" s="9" t="str">
        <x:v>Low</x:v>
      </x:c>
      <x:c r="Y347" s="9" t="str"/>
      <x:c r="Z347" s="9" t="str">
        <x:v>2–4 hr per route (verify)</x:v>
      </x:c>
      <x:c r="AA347" s="9" t="str">
        <x:v>An 18-rated live-action Tokyo horror movie you direct by choice, with a route map of every branch and bad ending.</x:v>
      </x:c>
      <x:c r="AB347" s="9" t="str">
        <x:v>None known</x:v>
      </x:c>
      <x:c r="AC347" s="9" t="str">
        <x:v>Drama scenes are movies combining live action and CG, with choices at key points</x:v>
      </x:c>
      <x:c r="AD347" s="9" t="str">
        <x:v>Low; many bad endings to avoid</x:v>
      </x:c>
      <x:c r="AE347" s="9" t="str">
        <x:v>Many endings incl. bad endings; route map shows the path taken and lets you replay sections</x:v>
      </x:c>
      <x:c r="AF347" s="9" t="str">
        <x:v>Saturn version carries an 18+ rating for graphic content. Author Nishitani got the idea from friends who saw a red lightning bolt near Meiji-jingu-mae.</x:v>
      </x:c>
      <x:c r="AG347" s="9" t="str">
        <x:v>Japanese release only</x:v>
      </x:c>
      <x:c r="AH347" s="9" t="str">
        <x:v>No</x:v>
      </x:c>
      <x:c r="AI347" s="9" t="str">
        <x:v>Import</x:v>
      </x:c>
      <x:c r="AJ347" s="9"/>
      <x:c r="AK347" s="9" t="str">
        <x:v>Released 25 Apr 1997 (Japanese Wikipedia). Japanese Wikipedia: a live-action movie adventure; Famitsu 27/40 on both PS and Saturn. 18+ rating is for violence/gore, not an adult title. Developer, publisher and disc count not confirmed. PriceCharting product id 53573.</x:v>
      </x:c>
      <x:c r="AL347" s="10" t="n">
        <x:v>18.6</x:v>
      </x:c>
      <x:c r="AM347" s="10" t="n">
        <x:v>63.25</x:v>
      </x:c>
      <x:c r="AN347" s="10" t="n">
        <x:v>108</x:v>
      </x:c>
      <x:c r="AO347" s="9" t="str">
        <x:v>2026-10-21</x:v>
      </x:c>
      <x:c r="AP347" s="11" t="str">
        <x:f>HYPERLINK("https://www.pricecharting.com/game/jp-sega-saturn/tokyo-shadow","PriceCharting")</x:f>
        <x:v>PriceCharting</x:v>
      </x:c>
      <x:c r="AQ347" s="9"/>
      <x:c r="AR347" s="9"/>
      <x:c r="AS347" s="9"/>
      <x:c r="AT347" s="9"/>
      <x:c r="AU347" s="9"/>
      <x:c r="AV347" s="9"/>
      <x:c r="AW347" s="9"/>
      <x:c r="AX347" s="9"/>
      <x:c r="AY347" s="9"/>
      <x:c r="AZ347" s="9"/>
      <x:c r="BA347" s="11" t="str">
        <x:f>HYPERLINK("https://www.mobygames.com/search/?q=Tokyo+Shadow","MobyGames")</x:f>
        <x:v>MobyGames</x:v>
      </x:c>
      <x:c r="BB347" s="9" t="str">
        <x:v>68%</x:v>
      </x:c>
      <x:c r="BC347" s="9" t="str">
        <x:v>Famitsu Cross Review on Japanese Wikipedia</x:v>
      </x:c>
      <x:c r="BD347" s="9" t="str">
        <x:f>HYPERLINK("https://ja.wikipedia.org/wiki/%E6%9D%B1%E4%BA%AC%E3%82%B7%E3%83%A3%E3%83%89%E3%82%A6","Source")</x:f>
        <x:v>Source</x:v>
      </x:c>
      <x:c r="BE347" s="9"/>
      <x:c r="BF347" s="11" t="str">
        <x:f>HYPERLINK("https://backloggd.com/search/games/Tokyo%20Shadow/","Backloggd")</x:f>
        <x:v>Backloggd</x:v>
      </x:c>
      <x:c r="BG347" s="11" t="str">
        <x:f>HYPERLINK("https://segaretro.org/Tokyo_Shadow","Sega Retro")</x:f>
        <x:v>Sega Retro</x:v>
      </x:c>
      <x:c r="BH347" s="9"/>
      <x:c r="BI347" s="12" t="str">
        <x:v>No</x:v>
      </x:c>
      <x:c r="BJ347" s="12" t="str"/>
      <x:c r="BK347" s="12" t="str">
        <x:v>No</x:v>
      </x:c>
      <x:c r="BL347" s="12" t="str"/>
      <x:c r="BM347" s="12" t="str"/>
      <x:c r="BN347" s="12" t="str"/>
      <x:c r="BO347" s="12" t="str"/>
      <x:c r="BP347" s="12" t="str"/>
      <x:c r="BQ347" s="12" t="str"/>
    </x:row>
    <x:row r="348">
      <x:c r="A348" s="9" t="str">
        <x:v>saturn-27</x:v>
      </x:c>
      <x:c r="B348" s="9" t="str">
        <x:v>gakkou-no-kowai-uwasa-hanako-san-ga-kita</x:v>
      </x:c>
      <x:c r="C348" s="9" t="str">
        <x:v>Sega Saturn</x:v>
      </x:c>
      <x:c r="D348" s="9" t="str">
        <x:v>Gakkou no Kowai Uwasa: Hanako-san ga Kita!!</x:v>
      </x:c>
      <x:c r="E348" s="9" t="str">
        <x:v>学校のコワイうわさ 花子さんがきた!!</x:v>
      </x:c>
      <x:c r="F348" s="9" t="str">
        <x:v>Capcom</x:v>
      </x:c>
      <x:c r="G348" s="9" t="str">
        <x:v>Capcom</x:v>
      </x:c>
      <x:c r="H348" s="9" t="n">
        <x:v>1995</x:v>
      </x:c>
      <x:c r="I348" s="9" t="str">
        <x:v>No</x:v>
      </x:c>
      <x:c r="J348" s="9" t="str">
        <x:v>Yes</x:v>
      </x:c>
      <x:c r="K348" s="9" t="str">
        <x:v>No</x:v>
      </x:c>
      <x:c r="L348" s="9" t="str">
        <x:v>No</x:v>
      </x:c>
      <x:c r="M348" s="9" t="str">
        <x:v>First-person horror adventure</x:v>
      </x:c>
      <x:c r="N348" s="9" t="str">
        <x:v>Animated</x:v>
      </x:c>
      <x:c r="O348" s="9" t="n">
        <x:v>5</x:v>
      </x:c>
      <x:c r="P348" s="9" t="str">
        <x:v>Interactive movie</x:v>
      </x:c>
      <x:c r="Q348" s="9" t="str">
        <x:v>Released</x:v>
      </x:c>
      <x:c r="R348" s="9" t="str">
        <x:v>Hanako-san ga Kita!! children's horror books / anime franchise</x:v>
      </x:c>
      <x:c r="S348" s="9" t="str">
        <x:v>PlayStation (same day, 11 Aug 1995), 3DO, Mac, Windows</x:v>
      </x:c>
      <x:c r="T348" s="9" t="str">
        <x:v>Mayutan (Hanako), Masato Ibu (narrator), Yoshiko Kamei (Hiroshi), Akemi Okamura (Mami)</x:v>
      </x:c>
      <x:c r="U348" s="9" t="n">
        <x:v>1</x:v>
      </x:c>
      <x:c r="V348" s="9" t="str">
        <x:v>Yes (verify)</x:v>
      </x:c>
      <x:c r="W348" s="9" t="str">
        <x:v>Standard pad; Saturn internal memory / backup cart for saves</x:v>
      </x:c>
      <x:c r="X348" s="9" t="str">
        <x:v>Low–Med</x:v>
      </x:c>
      <x:c r="Y348" s="9" t="str">
        <x:v>Anime-franchise animation and music (verify)</x:v>
      </x:c>
      <x:c r="Z348" s="9" t="str">
        <x:v>1–2 hr (verify)</x:v>
      </x:c>
      <x:c r="AA348" s="9" t="str">
        <x:v>Capcom's school-ghost interactive cartoon: recover seven mirror shards with Hanako's help before sunrise.</x:v>
      </x:c>
      <x:c r="AB348" s="9" t="str">
        <x:v>None known</x:v>
      </x:c>
      <x:c r="AC348" s="9" t="str">
        <x:v>Cartoon-style animated video and 2D first-person screens (verify how much is streamed)</x:v>
      </x:c>
      <x:c r="AD348" s="9" t="str">
        <x:v>Easy; aimed at children</x:v>
      </x:c>
      <x:c r="AE348" s="9" t="str">
        <x:v>Unknown — verify</x:v>
      </x:c>
      <x:c r="AF348" s="9" t="str">
        <x:v>Shu Takumi, later creator of Ace Attorney, worked on it as a planner; it was his first game after joining Capcom in 1994.</x:v>
      </x:c>
      <x:c r="AG348" s="9" t="str">
        <x:v>Japanese release only</x:v>
      </x:c>
      <x:c r="AH348" s="9" t="str">
        <x:v>No</x:v>
      </x:c>
      <x:c r="AI348" s="9" t="str">
        <x:v>Import</x:v>
      </x:c>
      <x:c r="AJ348" s="9"/>
      <x:c r="AK348" s="9" t="str">
        <x:v>Release 11 Aug 1995 (Wikipedia list; PS same date). psxdatacenter labels it an interactive movie with 2D cartoon graphics; amount of streamed animation unconfirmed, fmv score (verify).</x:v>
      </x:c>
      <x:c r="AL348" s="10" t="n">
        <x:v>7.05</x:v>
      </x:c>
      <x:c r="AM348" s="10" t="n">
        <x:v>13</x:v>
      </x:c>
      <x:c r="AN348" s="10" t="n">
        <x:v>25.39</x:v>
      </x:c>
      <x:c r="AO348" s="9" t="str">
        <x:v>2026-10-21</x:v>
      </x:c>
      <x:c r="AP348" s="11" t="str">
        <x:f>HYPERLINK("https://www.pricecharting.com/game/jp-sega-saturn/gakkou-no-kowai-uwasa-hanako-san-ga-kita","PriceCharting")</x:f>
        <x:v>PriceCharting</x:v>
      </x:c>
      <x:c r="AQ348" s="9"/>
      <x:c r="AR348" s="9"/>
      <x:c r="AS348" s="9"/>
      <x:c r="AT348" s="9"/>
      <x:c r="AU348" s="9"/>
      <x:c r="AV348" s="9"/>
      <x:c r="AW348" s="9"/>
      <x:c r="AX348" s="9"/>
      <x:c r="AY348" s="9"/>
      <x:c r="AZ348" s="9"/>
      <x:c r="BA348" s="11" t="str">
        <x:f>HYPERLINK("https://www.mobygames.com/search/?q=Gakkou+no+Kowai+Uwasa%3A+Hanako-san+ga+Kita%21%21","MobyGames")</x:f>
        <x:v>MobyGames</x:v>
      </x:c>
      <x:c r="BB348" s="9"/>
      <x:c r="BC348" s="9"/>
      <x:c r="BD348" s="9"/>
      <x:c r="BE348" s="9"/>
      <x:c r="BF348" s="11" t="str">
        <x:f>HYPERLINK("https://backloggd.com/search/games/Gakkou%20no%20Kowai%20Uwasa%3A%20Hanako-san%20ga%20Kita%21%21/","Backloggd")</x:f>
        <x:v>Backloggd</x:v>
      </x:c>
      <x:c r="BG348" s="11" t="str">
        <x:f>HYPERLINK("https://segaretro.org/Gakkou_no_Kowai_Uwasa_Hanako-san_ga_Kita!!","Sega Retro")</x:f>
        <x:v>Sega Retro</x:v>
      </x:c>
      <x:c r="BH348" s="9"/>
      <x:c r="BI348" s="12" t="str">
        <x:v>No</x:v>
      </x:c>
      <x:c r="BJ348" s="12" t="str"/>
      <x:c r="BK348" s="12" t="str">
        <x:v>No</x:v>
      </x:c>
      <x:c r="BL348" s="12" t="str"/>
      <x:c r="BM348" s="12" t="str"/>
      <x:c r="BN348" s="12" t="str"/>
      <x:c r="BO348" s="12" t="str"/>
      <x:c r="BP348" s="12" t="str"/>
      <x:c r="BQ348" s="12" t="str"/>
    </x:row>
    <x:row r="349">
      <x:c r="A349" s="9" t="str">
        <x:v>saturn-28</x:v>
      </x:c>
      <x:c r="B349" s="9" t="str">
        <x:v>gakkou-no-kaidan</x:v>
      </x:c>
      <x:c r="C349" s="9" t="str">
        <x:v>Sega Saturn</x:v>
      </x:c>
      <x:c r="D349" s="9" t="str">
        <x:v>Gakkou no Kaidan</x:v>
      </x:c>
      <x:c r="E349" s="9" t="str">
        <x:v>学校の怪談 (School Ghost Stories)</x:v>
      </x:c>
      <x:c r="F349" s="9" t="str">
        <x:v>Japan Media Programming</x:v>
      </x:c>
      <x:c r="G349" s="9" t="str">
        <x:v>Sega</x:v>
      </x:c>
      <x:c r="H349" s="9" t="n">
        <x:v>1995</x:v>
      </x:c>
      <x:c r="I349" s="9" t="str">
        <x:v>No</x:v>
      </x:c>
      <x:c r="J349" s="9" t="str">
        <x:v>Yes</x:v>
      </x:c>
      <x:c r="K349" s="9" t="str">
        <x:v>No</x:v>
      </x:c>
      <x:c r="L349" s="9" t="str">
        <x:v>No</x:v>
      </x:c>
      <x:c r="M349" s="9" t="str">
        <x:v>Horror interactive movie / adventure</x:v>
      </x:c>
      <x:c r="N349" s="9" t="str">
        <x:v>Live-action (verify)</x:v>
      </x:c>
      <x:c r="O349" s="9" t="n">
        <x:v>7</x:v>
      </x:c>
      <x:c r="P349" s="9" t="str">
        <x:v>Interactive movie</x:v>
      </x:c>
      <x:c r="Q349" s="9" t="str">
        <x:v>Released</x:v>
      </x:c>
      <x:c r="R349" s="9" t="str">
        <x:v>Film tie-in: Gakkou no Kaidan (Toho, 1995)</x:v>
      </x:c>
      <x:c r="S349" s="9" t="str">
        <x:v>None</x:v>
      </x:c>
      <x:c r="T349" s="9" t="str">
        <x:v>Unknown — verify (whether film cast appears)</x:v>
      </x:c>
      <x:c r="U349" s="9" t="n">
        <x:v>1</x:v>
      </x:c>
      <x:c r="V349" s="9" t="str">
        <x:v>Unknown — verify</x:v>
      </x:c>
      <x:c r="W349" s="9" t="str">
        <x:v>Standard pad; Saturn internal memory / backup cart for saves</x:v>
      </x:c>
      <x:c r="X349" s="9" t="str">
        <x:v>Med</x:v>
      </x:c>
      <x:c r="Y349" s="9" t="str">
        <x:v>Possible Toho film footage/music (verify)</x:v>
      </x:c>
      <x:c r="Z349" s="9" t="str">
        <x:v>1–2 hr (verify)</x:v>
      </x:c>
      <x:c r="AA349" s="9" t="str">
        <x:v>A Sega tie-in to Toho's 1995 school-ghost film where you dodge ghosts with button prompts during the video.</x:v>
      </x:c>
      <x:c r="AB349" s="9" t="str">
        <x:v>None known</x:v>
      </x:c>
      <x:c r="AC349" s="9" t="str">
        <x:v>FMV sequences with timed directional/A/C prompts; window size verify</x:v>
      </x:c>
      <x:c r="AD349" s="9" t="str">
        <x:v>Moderate; timed inputs during FMV</x:v>
      </x:c>
      <x:c r="AE349" s="9" t="str">
        <x:v>Unknown — verify</x:v>
      </x:c>
      <x:c r="AF349" s="9" t="str">
        <x:v>Released 14 July 1995, the same summer as the Toho film it ties in to.</x:v>
      </x:c>
      <x:c r="AG349" s="9" t="str">
        <x:v>Japanese release only</x:v>
      </x:c>
      <x:c r="AH349" s="9" t="str">
        <x:v>No</x:v>
      </x:c>
      <x:c r="AI349" s="9" t="str">
        <x:v>Import</x:v>
      </x:c>
      <x:c r="AJ349" s="9"/>
      <x:c r="AK349" s="9" t="str">
        <x:v>LaunchBox describes an interactive movie with FMV and QTE-style inputs plus point-and-click sections. Not confirmed whether the video is film footage or shot for the game. Release date 14 Jul 1995 confirmed by the en Wikipedia film article.</x:v>
      </x:c>
      <x:c r="AL349" s="10" t="n">
        <x:v>5.32</x:v>
      </x:c>
      <x:c r="AM349" s="10" t="n">
        <x:v>7.44</x:v>
      </x:c>
      <x:c r="AN349" s="10" t="n">
        <x:v>13</x:v>
      </x:c>
      <x:c r="AO349" s="9" t="str">
        <x:v>2026-10-21</x:v>
      </x:c>
      <x:c r="AP349" s="11" t="str">
        <x:f>HYPERLINK("https://www.pricecharting.com/game/jp-sega-saturn/gakkou-no-kaidan","PriceCharting")</x:f>
        <x:v>PriceCharting</x:v>
      </x:c>
      <x:c r="AQ349" s="9"/>
      <x:c r="AR349" s="9"/>
      <x:c r="AS349" s="9"/>
      <x:c r="AT349" s="9"/>
      <x:c r="AU349" s="9"/>
      <x:c r="AV349" s="9"/>
      <x:c r="AW349" s="9"/>
      <x:c r="AX349" s="9"/>
      <x:c r="AY349" s="9"/>
      <x:c r="AZ349" s="9"/>
      <x:c r="BA349" s="11" t="str">
        <x:f>HYPERLINK("https://www.mobygames.com/search/?q=Gakkou+no+Kaidan","MobyGames")</x:f>
        <x:v>MobyGames</x:v>
      </x:c>
      <x:c r="BB349" s="9"/>
      <x:c r="BC349" s="9"/>
      <x:c r="BD349" s="9"/>
      <x:c r="BE349" s="11" t="str">
        <x:f>HYPERLINK("https://en.wikipedia.org/wiki/School_Ghost_Stories","Wikipedia")</x:f>
        <x:v>Wikipedia</x:v>
      </x:c>
      <x:c r="BF349" s="11" t="str">
        <x:f>HYPERLINK("https://backloggd.com/search/games/Gakkou%20no%20Kaidan/","Backloggd")</x:f>
        <x:v>Backloggd</x:v>
      </x:c>
      <x:c r="BG349" s="9"/>
      <x:c r="BH349" s="9"/>
      <x:c r="BI349" s="12" t="str">
        <x:v>No</x:v>
      </x:c>
      <x:c r="BJ349" s="12" t="str"/>
      <x:c r="BK349" s="12" t="str">
        <x:v>No</x:v>
      </x:c>
      <x:c r="BL349" s="12" t="str"/>
      <x:c r="BM349" s="12" t="str"/>
      <x:c r="BN349" s="12" t="str"/>
      <x:c r="BO349" s="12" t="str"/>
      <x:c r="BP349" s="12" t="str"/>
      <x:c r="BQ349" s="12" t="str"/>
    </x:row>
    <x:row r="350">
      <x:c r="A350" s="9" t="str">
        <x:v>saturn-29</x:v>
      </x:c>
      <x:c r="B350" s="9" t="str">
        <x:v>nanatsu-no-hikan</x:v>
      </x:c>
      <x:c r="C350" s="9" t="str">
        <x:v>Sega Saturn</x:v>
      </x:c>
      <x:c r="D350" s="9" t="str">
        <x:v>Nanatsu no Hikan</x:v>
      </x:c>
      <x:c r="E350" s="9" t="str">
        <x:v>七ツの秘館 (Seven Mysterious Mansions)</x:v>
      </x:c>
      <x:c r="F350" s="9" t="str">
        <x:v>Koei</x:v>
      </x:c>
      <x:c r="G350" s="9" t="str">
        <x:v>Koei</x:v>
      </x:c>
      <x:c r="H350" s="9" t="n">
        <x:v>1996</x:v>
      </x:c>
      <x:c r="I350" s="9" t="str">
        <x:v>No</x:v>
      </x:c>
      <x:c r="J350" s="9" t="str">
        <x:v>Yes</x:v>
      </x:c>
      <x:c r="K350" s="9" t="str">
        <x:v>No</x:v>
      </x:c>
      <x:c r="L350" s="9" t="str">
        <x:v>No</x:v>
      </x:c>
      <x:c r="M350" s="9" t="str">
        <x:v>First-person horror adventure</x:v>
      </x:c>
      <x:c r="N350" s="9" t="str">
        <x:v>Live-action + pre-rendered CG</x:v>
      </x:c>
      <x:c r="O350" s="9" t="n">
        <x:v>4</x:v>
      </x:c>
      <x:c r="P350" s="9" t="str">
        <x:v>FMV adventure</x:v>
      </x:c>
      <x:c r="Q350" s="9" t="str">
        <x:v>Released</x:v>
      </x:c>
      <x:c r="R350" s="9" t="str">
        <x:v>Original production</x:v>
      </x:c>
      <x:c r="S350" s="9" t="str">
        <x:v>PlayStation; sequel Nanatsu no Hikan: Senritsu no Bisho (Dreamcast, 2000)</x:v>
      </x:c>
      <x:c r="T350" s="9" t="str">
        <x:v>Kageki Shimoda (live-action clue scenes; Shuhei), Ichiro Nagai (narration); voices Hikaru Midorikawa, Mariko Kouda, Yuri Amano</x:v>
      </x:c>
      <x:c r="U350" s="9" t="n">
        <x:v>3</x:v>
      </x:c>
      <x:c r="V350" s="9" t="str">
        <x:v>Yes (one save per disc)</x:v>
      </x:c>
      <x:c r="W350" s="9" t="str">
        <x:v>Standard pad; Saturn internal memory / backup cart for saves</x:v>
      </x:c>
      <x:c r="X350" s="9" t="str">
        <x:v>Low</x:v>
      </x:c>
      <x:c r="Y350" s="9" t="str"/>
      <x:c r="Z350" s="9" t="str">
        <x:v>6–10 hr (verify)</x:v>
      </x:c>
      <x:c r="AA350" s="9" t="str">
        <x:v>Koei's seven-mansion treasure hunt, where comedian Kageki Shimoda pops up in live-action clips to hand you hints.</x:v>
      </x:c>
      <x:c r="AB350" s="9" t="str">
        <x:v>None known</x:v>
      </x:c>
      <x:c r="AC350" s="9" t="str">
        <x:v>Pre-rendered CG rooms with live-action clue segments; window size verify</x:v>
      </x:c>
      <x:c r="AD350" s="9" t="str">
        <x:v>Moderate; instant-death traps, no combat</x:v>
      </x:c>
      <x:c r="AE350" s="9" t="str">
        <x:v>Unknown — verify</x:v>
      </x:c>
      <x:c r="AF350" s="9" t="str">
        <x:v>One of few Koei adventures with 3D models; a Romance of the Three Kingdoms menu theme plays from a turntable in one room.</x:v>
      </x:c>
      <x:c r="AG350" s="9" t="str">
        <x:v>Standalone; also in SS Adventure Pack: Nanatsu no Hikan &amp; Myst (28 Mar 1997)</x:v>
      </x:c>
      <x:c r="AH350" s="9" t="str">
        <x:v>No</x:v>
      </x:c>
      <x:c r="AI350" s="9" t="str">
        <x:v>Import</x:v>
      </x:c>
      <x:c r="AJ350" s="9"/>
      <x:c r="AK350" s="9" t="str">
        <x:v>Saturn release 5 Apr 1996 (Wikipedia list); en Wikipedia (Dreamcast sequel article) confirms PS and Saturn versions. Discs swap by resetting. Kept as substantial-video adventure; fmv 4 is a judgement call (verify).</x:v>
      </x:c>
      <x:c r="AL350" s="10" t="n">
        <x:v>6.96</x:v>
      </x:c>
      <x:c r="AM350" s="10" t="n">
        <x:v>8.84</x:v>
      </x:c>
      <x:c r="AN350" s="10" t="n">
        <x:v>15</x:v>
      </x:c>
      <x:c r="AO350" s="9" t="str">
        <x:v>2026-10-21</x:v>
      </x:c>
      <x:c r="AP350" s="11" t="str">
        <x:f>HYPERLINK("https://www.pricecharting.com/game/jp-sega-saturn/nanatsu-no-hikan","PriceCharting")</x:f>
        <x:v>PriceCharting</x:v>
      </x:c>
      <x:c r="AQ350" s="9"/>
      <x:c r="AR350" s="9"/>
      <x:c r="AS350" s="9"/>
      <x:c r="AT350" s="9"/>
      <x:c r="AU350" s="9"/>
      <x:c r="AV350" s="9"/>
      <x:c r="AW350" s="9"/>
      <x:c r="AX350" s="9"/>
      <x:c r="AY350" s="9"/>
      <x:c r="AZ350" s="9"/>
      <x:c r="BA350" s="11" t="str">
        <x:f>HYPERLINK("https://www.mobygames.com/search/?q=Nanatsu+no+Hikan","MobyGames")</x:f>
        <x:v>MobyGames</x:v>
      </x:c>
      <x:c r="BB350" s="9"/>
      <x:c r="BC350" s="9"/>
      <x:c r="BD350" s="9"/>
      <x:c r="BE350" s="9"/>
      <x:c r="BF350" s="11" t="str">
        <x:f>HYPERLINK("https://backloggd.com/search/games/Nanatsu%20no%20Hikan/","Backloggd")</x:f>
        <x:v>Backloggd</x:v>
      </x:c>
      <x:c r="BG350" s="9"/>
      <x:c r="BH350" s="9"/>
      <x:c r="BI350" s="12" t="str">
        <x:v>No</x:v>
      </x:c>
      <x:c r="BJ350" s="12" t="str"/>
      <x:c r="BK350" s="12" t="str">
        <x:v>No</x:v>
      </x:c>
      <x:c r="BL350" s="12" t="str"/>
      <x:c r="BM350" s="12" t="str"/>
      <x:c r="BN350" s="12" t="str"/>
      <x:c r="BO350" s="12" t="str"/>
      <x:c r="BP350" s="12" t="str"/>
      <x:c r="BQ350" s="12" t="str"/>
    </x:row>
    <x:row r="351">
      <x:c r="A351" s="9" t="str">
        <x:v>saturn-30</x:v>
      </x:c>
      <x:c r="B351" s="9" t="str">
        <x:v>shichisei-toushin-guyferd-crown-kaimetsu-sakusen</x:v>
      </x:c>
      <x:c r="C351" s="9" t="str">
        <x:v>Sega Saturn</x:v>
      </x:c>
      <x:c r="D351" s="9" t="str">
        <x:v>Shichisei Toushin Guyferd: Crown Kaimetsu Sakusen</x:v>
      </x:c>
      <x:c r="E351" s="9" t="str">
        <x:v>七星闘神ガイファード クラウン壊滅作戦 (Guyferd: Operation Destroy Crown)</x:v>
      </x:c>
      <x:c r="F351" s="9" t="str">
        <x:v>Kouyousha</x:v>
      </x:c>
      <x:c r="G351" s="9" t="str">
        <x:v>Capcom</x:v>
      </x:c>
      <x:c r="H351" s="9" t="n">
        <x:v>1998</x:v>
      </x:c>
      <x:c r="I351" s="9" t="str">
        <x:v>No</x:v>
      </x:c>
      <x:c r="J351" s="9" t="str">
        <x:v>Yes</x:v>
      </x:c>
      <x:c r="K351" s="9" t="str">
        <x:v>No</x:v>
      </x:c>
      <x:c r="L351" s="9" t="str">
        <x:v>No</x:v>
      </x:c>
      <x:c r="M351" s="9" t="str">
        <x:v>Tokusatsu adventure / card battle</x:v>
      </x:c>
      <x:c r="N351" s="9" t="str">
        <x:v>Live-action (TV footage)</x:v>
      </x:c>
      <x:c r="O351" s="9" t="n">
        <x:v>2</x:v>
      </x:c>
      <x:c r="P351" s="9" t="str">
        <x:v>Cutscenes only</x:v>
      </x:c>
      <x:c r="Q351" s="9" t="str">
        <x:v>Released</x:v>
      </x:c>
      <x:c r="R351" s="9" t="str">
        <x:v>TV license: Shichisei Toushin Guyferd (Toho/Capcom, TV Tokyo, 1996)</x:v>
      </x:c>
      <x:c r="S351" s="9" t="str">
        <x:v>PlayStation (19 Nov 1998)</x:v>
      </x:c>
      <x:c r="T351" s="9" t="str">
        <x:v>TV cast likely (Hiroyuki Kawai as Gou Kazama) — verify who appears</x:v>
      </x:c>
      <x:c r="U351" s="9" t="str">
        <x:v>Unknown — verify</x:v>
      </x:c>
      <x:c r="V351" s="9" t="str">
        <x:v>Unknown — verify</x:v>
      </x:c>
      <x:c r="W351" s="9" t="str">
        <x:v>Standard pad; Saturn internal memory / backup cart for saves</x:v>
      </x:c>
      <x:c r="X351" s="9" t="str">
        <x:v>Med</x:v>
      </x:c>
      <x:c r="Y351" s="9" t="str">
        <x:v>Footage and music from the Toho/Capcom TV series (verify)</x:v>
      </x:c>
      <x:c r="Z351" s="9" t="str">
        <x:v>3–5 hr (verify)</x:v>
      </x:c>
      <x:c r="AA351" s="9" t="str">
        <x:v>Capcom's own tokusatsu hero gets a first-person story mode seen through the eyes of a captured journalist.</x:v>
      </x:c>
      <x:c r="AB351" s="9" t="str">
        <x:v>None known</x:v>
      </x:c>
      <x:c r="AC351" s="9" t="str">
        <x:v>Footage from the TV show, e.g. Guyferd's transformation plays at the end of a level; rest is maze exploration and card battles</x:v>
      </x:c>
      <x:c r="AD351" s="9" t="str">
        <x:v>Low; card-based battles with a button-mash bonus phase</x:v>
      </x:c>
      <x:c r="AE351" s="9" t="str">
        <x:v>Unknown — verify</x:v>
      </x:c>
      <x:c r="AF351" s="9" t="str">
        <x:v>Released two years after the show ended. You play journalist Kouichi Hayami, captured and turned into a Gaiborg by Crown; his face is rarely shown. An illustration mode shows rare production art from the series.</x:v>
      </x:c>
      <x:c r="AG351" s="9" t="str">
        <x:v>Japanese release only</x:v>
      </x:c>
      <x:c r="AH351" s="9" t="str">
        <x:v>No</x:v>
      </x:c>
      <x:c r="AI351" s="9" t="str">
        <x:v>Import</x:v>
      </x:c>
      <x:c r="AJ351" s="9"/>
      <x:c r="AK351" s="9" t="str">
        <x:v>Saturn and PS versions both released 19 Nov 1998 by Capcom (Japanese Wikipedia, Wikizilla); Sega Retro has a page. Not in the en Wikipedia Saturn list. Wikizilla notes transformation footage from the show at level ends; amount of video otherwise small, so fmv 2. No PriceCharting page found.</x:v>
      </x:c>
      <x:c r="AL351" s="10" t="n">
        <x:v>32.48</x:v>
      </x:c>
      <x:c r="AM351" s="10" t="n">
        <x:v>58.21</x:v>
      </x:c>
      <x:c r="AN351" s="10" t="n">
        <x:v>103.49</x:v>
      </x:c>
      <x:c r="AO351" s="9" t="str">
        <x:v>2026-10-21</x:v>
      </x:c>
      <x:c r="AP351" s="11" t="str">
        <x:f>HYPERLINK("https://www.pricecharting.com/game/jp-sega-saturn/shichisei-toushin-guyferd","PriceCharting")</x:f>
        <x:v>PriceCharting</x:v>
      </x:c>
      <x:c r="AQ351" s="9"/>
      <x:c r="AR351" s="9"/>
      <x:c r="AS351" s="9"/>
      <x:c r="AT351" s="9"/>
      <x:c r="AU351" s="9"/>
      <x:c r="AV351" s="9"/>
      <x:c r="AW351" s="9"/>
      <x:c r="AX351" s="9"/>
      <x:c r="AY351" s="9"/>
      <x:c r="AZ351" s="9"/>
      <x:c r="BA351" s="11" t="str">
        <x:f>HYPERLINK("https://www.mobygames.com/search/?q=Shichisei+Toushin+Guyferd%3A+Crown+Kaimetsu+Sakusen","MobyGames")</x:f>
        <x:v>MobyGames</x:v>
      </x:c>
      <x:c r="BB351" s="9"/>
      <x:c r="BC351" s="9"/>
      <x:c r="BD351" s="9"/>
      <x:c r="BE351" s="11" t="str">
        <x:f>HYPERLINK("https://en.wikipedia.org/wiki/Shichisei_T%C5%8Dshin_Guyferd","Wikipedia")</x:f>
        <x:v>Wikipedia</x:v>
      </x:c>
      <x:c r="BF351" s="11" t="str">
        <x:f>HYPERLINK("https://backloggd.com/search/games/Shichisei%20Toushin%20Guyferd%3A%20Crown%20Kaimetsu%20Sakusen/","Backloggd")</x:f>
        <x:v>Backloggd</x:v>
      </x:c>
      <x:c r="BG351" s="11" t="str">
        <x:f>HYPERLINK("https://www.segaretro.org/Shichisei_Toushin_Guyferd:_Crown_Kaimetsu_Sakusen","Sega Retro")</x:f>
        <x:v>Sega Retro</x:v>
      </x:c>
      <x:c r="BH351" s="9"/>
      <x:c r="BI351" s="12" t="str">
        <x:v>No</x:v>
      </x:c>
      <x:c r="BJ351" s="12" t="str"/>
      <x:c r="BK351" s="12" t="str">
        <x:v>No</x:v>
      </x:c>
      <x:c r="BL351" s="12" t="str"/>
      <x:c r="BM351" s="12" t="str"/>
      <x:c r="BN351" s="12" t="str"/>
      <x:c r="BO351" s="12" t="str"/>
      <x:c r="BP351" s="12" t="str"/>
      <x:c r="BQ351" s="12" t="str"/>
    </x:row>
    <x:row r="352">
      <x:c r="A352" s="9" t="str">
        <x:v>saturn-31</x:v>
      </x:c>
      <x:c r="B352" s="9" t="str">
        <x:v>kekkon-marriage</x:v>
      </x:c>
      <x:c r="C352" s="9" t="str">
        <x:v>Sega Saturn</x:v>
      </x:c>
      <x:c r="D352" s="9" t="str">
        <x:v>Kekkon: Marriage</x:v>
      </x:c>
      <x:c r="E352" s="9" t="str">
        <x:v>結婚 〜Marriage〜</x:v>
      </x:c>
      <x:c r="F352" s="9" t="str">
        <x:v>Westone</x:v>
      </x:c>
      <x:c r="G352" s="9" t="str">
        <x:v>Shogakukan Production</x:v>
      </x:c>
      <x:c r="H352" s="9" t="n">
        <x:v>1995</x:v>
      </x:c>
      <x:c r="I352" s="9" t="str">
        <x:v>No</x:v>
      </x:c>
      <x:c r="J352" s="9" t="str">
        <x:v>Yes</x:v>
      </x:c>
      <x:c r="K352" s="9" t="str">
        <x:v>No</x:v>
      </x:c>
      <x:c r="L352" s="9" t="str">
        <x:v>No</x:v>
      </x:c>
      <x:c r="M352" s="9" t="str">
        <x:v>Dating / marriage simulation</x:v>
      </x:c>
      <x:c r="N352" s="9" t="str">
        <x:v>Animated</x:v>
      </x:c>
      <x:c r="O352" s="9" t="n">
        <x:v>2</x:v>
      </x:c>
      <x:c r="P352" s="9" t="str">
        <x:v>Cutscenes only</x:v>
      </x:c>
      <x:c r="Q352" s="9" t="str">
        <x:v>Released</x:v>
      </x:c>
      <x:c r="R352" s="9" t="str">
        <x:v>Sotsugyou (Graduation) characters; spin-off media mix incl. the Marriage OVA (1996)</x:v>
      </x:c>
      <x:c r="S352" s="9" t="str">
        <x:v>PlayStation 'Kekkon ~Marriage~' (Oct 1996) is a different game, not a port</x:v>
      </x:c>
      <x:c r="T352" s="9" t="str">
        <x:v>Unknown — verify (game voice cast)</x:v>
      </x:c>
      <x:c r="U352" s="9" t="n">
        <x:v>1</x:v>
      </x:c>
      <x:c r="V352" s="9" t="str">
        <x:v>Yes (verify)</x:v>
      </x:c>
      <x:c r="W352" s="9" t="str">
        <x:v>Standard pad; Saturn internal memory / backup cart for saves</x:v>
      </x:c>
      <x:c r="X352" s="9" t="str">
        <x:v>Low–Med</x:v>
      </x:c>
      <x:c r="Y352" s="9" t="str">
        <x:v>Anime music (verify)</x:v>
      </x:c>
      <x:c r="Z352" s="9" t="str">
        <x:v>3–6 hr (verify)</x:v>
      </x:c>
      <x:c r="AA352" s="9" t="str">
        <x:v>Sega Saturn marriage sim with the Sotsugyou cast: pick your gender and court a graduate from Sotsugyou or Sotsugyou M.</x:v>
      </x:c>
      <x:c r="AB352" s="9" t="str">
        <x:v>None known</x:v>
      </x:c>
      <x:c r="AC352" s="9" t="str">
        <x:v>Animated cutscenes (verify)</x:v>
      </x:c>
      <x:c r="AD352" s="9" t="str">
        <x:v>Low</x:v>
      </x:c>
      <x:c r="AE352" s="9" t="str">
        <x:v>Multiple partner endings (verify)</x:v>
      </x:c>
      <x:c r="AF352" s="9" t="str">
        <x:v>Its 'Dual User System' lets you play as a man (Sotsugyou characters) or a woman (Sotsugyou M characters). The OVA Marriage was released in English by AnimeWorks/Media Blasters.</x:v>
      </x:c>
      <x:c r="AG352" s="9" t="str">
        <x:v>Japanese release only</x:v>
      </x:c>
      <x:c r="AH352" s="9" t="str">
        <x:v>No</x:v>
      </x:c>
      <x:c r="AI352" s="9" t="str">
        <x:v>Import</x:v>
      </x:c>
      <x:c r="AJ352" s="9"/>
      <x:c r="AK352" s="9" t="str">
        <x:v>Saturn release Dec 1995 (Japanese Wikipedia, Sotsugyou article). Japanese Wikipedia says the Saturn game left the player little to do compared with the later PS game. Character designs by Yoko Takanori. Developer not confirmed. Amount of streamed video unconfirmed; drop if none.</x:v>
      </x:c>
      <x:c r="AL352" s="10" t="n">
        <x:v>4.43</x:v>
      </x:c>
      <x:c r="AM352" s="10" t="n">
        <x:v>9.99</x:v>
      </x:c>
      <x:c r="AN352" s="10" t="n">
        <x:v>17</x:v>
      </x:c>
      <x:c r="AO352" s="9" t="str">
        <x:v>2026-10-21</x:v>
      </x:c>
      <x:c r="AP352" s="11" t="str">
        <x:f>HYPERLINK("https://www.pricecharting.com/game/jp-sega-saturn/kekkon-marriage","PriceCharting")</x:f>
        <x:v>PriceCharting</x:v>
      </x:c>
      <x:c r="AQ352" s="9"/>
      <x:c r="AR352" s="9"/>
      <x:c r="AS352" s="9"/>
      <x:c r="AT352" s="9"/>
      <x:c r="AU352" s="9"/>
      <x:c r="AV352" s="9"/>
      <x:c r="AW352" s="9"/>
      <x:c r="AX352" s="9"/>
      <x:c r="AY352" s="9"/>
      <x:c r="AZ352" s="9"/>
      <x:c r="BA352" s="11" t="str">
        <x:f>HYPERLINK("https://www.mobygames.com/search/?q=Kekkon%3A+Marriage","MobyGames")</x:f>
        <x:v>MobyGames</x:v>
      </x:c>
      <x:c r="BB352" s="9"/>
      <x:c r="BC352" s="9"/>
      <x:c r="BD352" s="9"/>
      <x:c r="BE352" s="9"/>
      <x:c r="BF352" s="11" t="str">
        <x:f>HYPERLINK("https://backloggd.com/search/games/Kekkon%3A%20Marriage/","Backloggd")</x:f>
        <x:v>Backloggd</x:v>
      </x:c>
      <x:c r="BG352" s="11" t="str">
        <x:f>HYPERLINK("https://segaretro.org/Kekkon","Sega Retro")</x:f>
        <x:v>Sega Retro</x:v>
      </x:c>
      <x:c r="BH352" s="9"/>
      <x:c r="BI352" s="12" t="str">
        <x:v>No</x:v>
      </x:c>
      <x:c r="BJ352" s="12" t="str"/>
      <x:c r="BK352" s="12" t="str">
        <x:v>No</x:v>
      </x:c>
      <x:c r="BL352" s="12" t="str"/>
      <x:c r="BM352" s="12" t="str"/>
      <x:c r="BN352" s="12" t="str"/>
      <x:c r="BO352" s="12" t="str"/>
      <x:c r="BP352" s="12" t="str"/>
      <x:c r="BQ352" s="12" t="str"/>
    </x:row>
    <x:row r="353">
      <x:c r="A353" s="9" t="str">
        <x:v>saturn-32</x:v>
      </x:c>
      <x:c r="B353" s="9" t="str">
        <x:v>moon-cradle</x:v>
      </x:c>
      <x:c r="C353" s="9" t="str">
        <x:v>Sega Saturn</x:v>
      </x:c>
      <x:c r="D353" s="9" t="str">
        <x:v>Moon Cradle</x:v>
      </x:c>
      <x:c r="E353" s="9" t="str">
        <x:v>飯田譲治ナイトメアインタラクティブ ムーンクレイドル 異形の花嫁 (Joji Iida Nightmare Interactive Moon Cradle)</x:v>
      </x:c>
      <x:c r="F353" s="9" t="str">
        <x:v>Tose</x:v>
      </x:c>
      <x:c r="G353" s="9" t="str">
        <x:v>Pack-In-Video (Victor Interactive Software on some listings)</x:v>
      </x:c>
      <x:c r="H353" s="9" t="n">
        <x:v>1997</x:v>
      </x:c>
      <x:c r="I353" s="9" t="str">
        <x:v>No</x:v>
      </x:c>
      <x:c r="J353" s="9" t="str">
        <x:v>Yes</x:v>
      </x:c>
      <x:c r="K353" s="9" t="str">
        <x:v>No</x:v>
      </x:c>
      <x:c r="L353" s="9" t="str">
        <x:v>No</x:v>
      </x:c>
      <x:c r="M353" s="9" t="str">
        <x:v>Horror mystery adventure</x:v>
      </x:c>
      <x:c r="N353" s="9" t="str">
        <x:v>Live-action</x:v>
      </x:c>
      <x:c r="O353" s="9" t="n">
        <x:v>7</x:v>
      </x:c>
      <x:c r="P353" s="9" t="str">
        <x:v>Interactive movie</x:v>
      </x:c>
      <x:c r="Q353" s="9" t="str">
        <x:v>Released</x:v>
      </x:c>
      <x:c r="R353" s="9" t="str">
        <x:v>Original production by director Joji Iida (Night Head)</x:v>
      </x:c>
      <x:c r="S353" s="9" t="str">
        <x:v>3DO (1995)</x:v>
      </x:c>
      <x:c r="T353" s="9" t="str">
        <x:v>Unknown — verify</x:v>
      </x:c>
      <x:c r="U353" s="9" t="n">
        <x:v>1</x:v>
      </x:c>
      <x:c r="V353" s="9" t="str">
        <x:v>Unknown — verify</x:v>
      </x:c>
      <x:c r="W353" s="9" t="str">
        <x:v>Standard pad; Saturn internal memory / backup cart for saves</x:v>
      </x:c>
      <x:c r="X353" s="9" t="str">
        <x:v>Low</x:v>
      </x:c>
      <x:c r="Y353" s="9" t="str"/>
      <x:c r="Z353" s="9" t="str">
        <x:v>Unknown — verify</x:v>
      </x:c>
      <x:c r="AA353" s="9" t="str">
        <x:v>Night Head creator Joji Iida's live-action nightmare, ported to Saturn two years after its 3DO debut.</x:v>
      </x:c>
      <x:c r="AB353" s="9" t="str">
        <x:v>None known</x:v>
      </x:c>
      <x:c r="AC353" s="9" t="str">
        <x:v>Unknown — verify</x:v>
      </x:c>
      <x:c r="AD353" s="9" t="str">
        <x:v>Unknown — verify</x:v>
      </x:c>
      <x:c r="AE353" s="9" t="str">
        <x:v>Unknown — verify</x:v>
      </x:c>
      <x:c r="AF353" s="9" t="str">
        <x:v>Originally a 1995 3DO release before the 1997 Saturn port.</x:v>
      </x:c>
      <x:c r="AG353" s="9" t="str">
        <x:v>Japanese release only</x:v>
      </x:c>
      <x:c r="AH353" s="9" t="str">
        <x:v>No</x:v>
      </x:c>
      <x:c r="AI353" s="9" t="str">
        <x:v>Import</x:v>
      </x:c>
      <x:c r="AJ353" s="9"/>
      <x:c r="AK353" s="9" t="str">
        <x:v>Saturn release 27 Jun 1997 (Wikipedia list, Tose/Pack-In-Video). MyAbandonware tags it live action. fmv score from genre/creator, not confirmed (verify). PriceCharting JP price high (CIB ~$67).</x:v>
      </x:c>
      <x:c r="AL353" s="10" t="n">
        <x:v>18.6</x:v>
      </x:c>
      <x:c r="AM353" s="10" t="n">
        <x:v>67.27</x:v>
      </x:c>
      <x:c r="AN353" s="10" t="n">
        <x:v>114</x:v>
      </x:c>
      <x:c r="AO353" s="9" t="str">
        <x:v>2026-10-21</x:v>
      </x:c>
      <x:c r="AP353" s="11" t="str">
        <x:f>HYPERLINK("https://www.pricecharting.com/game/jp-sega-saturn/moon-cradle","PriceCharting")</x:f>
        <x:v>PriceCharting</x:v>
      </x:c>
      <x:c r="AQ353" s="9"/>
      <x:c r="AR353" s="9"/>
      <x:c r="AS353" s="9"/>
      <x:c r="AT353" s="9"/>
      <x:c r="AU353" s="9"/>
      <x:c r="AV353" s="9"/>
      <x:c r="AW353" s="9"/>
      <x:c r="AX353" s="9"/>
      <x:c r="AY353" s="9"/>
      <x:c r="AZ353" s="9"/>
      <x:c r="BA353" s="11" t="str">
        <x:f>HYPERLINK("https://www.mobygames.com/search/?q=Moon+Cradle","MobyGames")</x:f>
        <x:v>MobyGames</x:v>
      </x:c>
      <x:c r="BB353" s="9"/>
      <x:c r="BC353" s="9"/>
      <x:c r="BD353" s="9"/>
      <x:c r="BE353" s="9"/>
      <x:c r="BF353" s="11" t="str">
        <x:f>HYPERLINK("https://backloggd.com/search/games/Moon%20Cradle/","Backloggd")</x:f>
        <x:v>Backloggd</x:v>
      </x:c>
      <x:c r="BG353" s="9"/>
      <x:c r="BH353" s="9"/>
      <x:c r="BI353" s="12" t="str">
        <x:v>No</x:v>
      </x:c>
      <x:c r="BJ353" s="12" t="str"/>
      <x:c r="BK353" s="12" t="str">
        <x:v>No</x:v>
      </x:c>
      <x:c r="BL353" s="12" t="str"/>
      <x:c r="BM353" s="12" t="str"/>
      <x:c r="BN353" s="12" t="str"/>
      <x:c r="BO353" s="12" t="str"/>
      <x:c r="BP353" s="12" t="str"/>
      <x:c r="BQ353" s="12" t="str"/>
    </x:row>
    <x:row r="354">
      <x:c r="A354" s="9" t="str">
        <x:v>saturn-33</x:v>
      </x:c>
      <x:c r="B354" s="9" t="str">
        <x:v>jikuu-tantei-dd-maboroshi-no-lorelei</x:v>
      </x:c>
      <x:c r="C354" s="9" t="str">
        <x:v>Sega Saturn</x:v>
      </x:c>
      <x:c r="D354" s="9" t="str">
        <x:v>Jikuu Tantei DD: Maboroshi no Lorelei</x:v>
      </x:c>
      <x:c r="E354" s="9" t="str">
        <x:v>時空探偵DD 〜幻のローレライ〜 (Jikuu Tantei DD: Dracula Detective)</x:v>
      </x:c>
      <x:c r="F354" s="9" t="str">
        <x:v>System Sacom</x:v>
      </x:c>
      <x:c r="G354" s="9" t="str">
        <x:v>ASCII</x:v>
      </x:c>
      <x:c r="H354" s="9" t="n">
        <x:v>1996</x:v>
      </x:c>
      <x:c r="I354" s="9" t="str">
        <x:v>No</x:v>
      </x:c>
      <x:c r="J354" s="9" t="str">
        <x:v>Yes</x:v>
      </x:c>
      <x:c r="K354" s="9" t="str">
        <x:v>No</x:v>
      </x:c>
      <x:c r="L354" s="9" t="str">
        <x:v>No</x:v>
      </x:c>
      <x:c r="M354" s="9" t="str">
        <x:v>Time-travel mystery adventure</x:v>
      </x:c>
      <x:c r="N354" s="9" t="str">
        <x:v>Pre-rendered CG</x:v>
      </x:c>
      <x:c r="O354" s="9" t="n">
        <x:v>5</x:v>
      </x:c>
      <x:c r="P354" s="9" t="str">
        <x:v>Pre-rendered CG</x:v>
      </x:c>
      <x:c r="Q354" s="9" t="str">
        <x:v>Released</x:v>
      </x:c>
      <x:c r="R354" s="9" t="str">
        <x:v>Original production; scenario by Hideki Sonoda</x:v>
      </x:c>
      <x:c r="S354" s="9" t="str">
        <x:v>PlayStation and Windows 95 (same day); DVD-PG port (Pioneer, 1998)</x:v>
      </x:c>
      <x:c r="T354" s="9" t="str">
        <x:v>Megumi Hayashibara (Maria Helsing; sings ending theme)</x:v>
      </x:c>
      <x:c r="U354" s="9" t="str">
        <x:v>Unknown — verify</x:v>
      </x:c>
      <x:c r="V354" s="9" t="str">
        <x:v>Yes (verify)</x:v>
      </x:c>
      <x:c r="W354" s="9" t="str">
        <x:v>Standard pad; Saturn internal memory / backup cart for saves</x:v>
      </x:c>
      <x:c r="X354" s="9" t="str">
        <x:v>Low</x:v>
      </x:c>
      <x:c r="Y354" s="9" t="str"/>
      <x:c r="Z354" s="9" t="str">
        <x:v>4–6 hr (verify)</x:v>
      </x:c>
      <x:c r="AA354" s="9" t="str">
        <x:v>A vampire detective with a time machine chases a missing doctor onto a 1939 zeppelin, opening with a 30-minute CG movie.</x:v>
      </x:c>
      <x:c r="AB354" s="9" t="str">
        <x:v>None known</x:v>
      </x:c>
      <x:c r="AC354" s="9" t="str">
        <x:v>Lavish CG cutscenes; PS version's first disc is entirely demo/cutscenes; Saturn graphics judged slightly lower than PS</x:v>
      </x:c>
      <x:c r="AD354" s="9" t="str">
        <x:v>Easy, very linear</x:v>
      </x:c>
      <x:c r="AE354" s="9" t="str">
        <x:v>Unknown — verify</x:v>
      </x:c>
      <x:c r="AF354" s="9" t="str">
        <x:v>Famitsu scored Saturn 6/7/6/7 and found the only difference from PS was the PS version's sharper graphics; one reviewer said the lavishly animated cutscenes are worth watching at least once.</x:v>
      </x:c>
      <x:c r="AG354" s="9" t="str">
        <x:v>Japanese release only</x:v>
      </x:c>
      <x:c r="AH354" s="9" t="str">
        <x:v>No</x:v>
      </x:c>
      <x:c r="AI354" s="9" t="str">
        <x:v>Import</x:v>
      </x:c>
      <x:c r="AJ354" s="9"/>
      <x:c r="AK354" s="9" t="str">
        <x:v>Released 26 Jul 1996 on Saturn, PS and Windows 95 (Wikipedia en/ja). Not live-action. Sequel Jikuu Tantei DD 2 (PS, 1998) not checked for Saturn.</x:v>
      </x:c>
      <x:c r="AL354" s="10" t="n">
        <x:v>3.25</x:v>
      </x:c>
      <x:c r="AM354" s="10" t="n">
        <x:v>4.1</x:v>
      </x:c>
      <x:c r="AN354" s="10" t="n">
        <x:v>7</x:v>
      </x:c>
      <x:c r="AO354" s="9" t="str">
        <x:v>2026-10-21</x:v>
      </x:c>
      <x:c r="AP354" s="11" t="str">
        <x:f>HYPERLINK("https://www.pricecharting.com/search-products?q=Jikuu+Tantei+DD%3A+Maboroshi+no+Lorelei+saturn&amp;type=prices","PriceCharting")</x:f>
        <x:v>PriceCharting</x:v>
      </x:c>
      <x:c r="AQ354" s="9"/>
      <x:c r="AR354" s="9"/>
      <x:c r="AS354" s="9"/>
      <x:c r="AT354" s="9"/>
      <x:c r="AU354" s="9"/>
      <x:c r="AV354" s="9"/>
      <x:c r="AW354" s="9"/>
      <x:c r="AX354" s="9"/>
      <x:c r="AY354" s="9"/>
      <x:c r="AZ354" s="9"/>
      <x:c r="BA354" s="11" t="str">
        <x:f>HYPERLINK("https://www.mobygames.com/search/?q=Jikuu+Tantei+DD%3A+Maboroshi+no+Lorelei","MobyGames")</x:f>
        <x:v>MobyGames</x:v>
      </x:c>
      <x:c r="BB354" s="9" t="str">
        <x:v>60%</x:v>
      </x:c>
      <x:c r="BC354" s="9" t="str">
        <x:v>average of 3 reviews on Wikipedia and Japanese Wikipedia (Famitsu, Sega Saturn Magazine JP, Saturn Fan)</x:v>
      </x:c>
      <x:c r="BD354" s="9" t="str">
        <x:f>HYPERLINK("https://en.wikipedia.org/wiki/Jik%C5%AB_Tantei_DD%3A_Maboroshi_no_R%C5%8Drerai","Source")</x:f>
        <x:v>Source</x:v>
      </x:c>
      <x:c r="BE354" s="11" t="str">
        <x:f>HYPERLINK("https://en.wikipedia.org/wiki/Jik%C5%AB_Tantei_DD:_Maboroshi_no_R%C5%8Drerai","Wikipedia")</x:f>
        <x:v>Wikipedia</x:v>
      </x:c>
      <x:c r="BF354" s="11" t="str">
        <x:f>HYPERLINK("https://backloggd.com/search/games/Jikuu%20Tantei%20DD%3A%20Maboroshi%20no%20Lorelei/","Backloggd")</x:f>
        <x:v>Backloggd</x:v>
      </x:c>
      <x:c r="BG354" s="11" t="str">
        <x:f>HYPERLINK("https://segaretro.org/Jikuu_Tantei_DD:_Maboroshi_no_Lorelei","Sega Retro")</x:f>
        <x:v>Sega Retro</x:v>
      </x:c>
      <x:c r="BH354" s="9"/>
      <x:c r="BI354" s="12" t="str">
        <x:v>No</x:v>
      </x:c>
      <x:c r="BJ354" s="12" t="str"/>
      <x:c r="BK354" s="12" t="str">
        <x:v>No</x:v>
      </x:c>
      <x:c r="BL354" s="12" t="str"/>
      <x:c r="BM354" s="12" t="str"/>
      <x:c r="BN354" s="12" t="str"/>
      <x:c r="BO354" s="12" t="str"/>
      <x:c r="BP354" s="12" t="str"/>
      <x:c r="BQ354" s="12" t="str"/>
    </x:row>
    <x:row r="355">
      <x:c r="A355" s="9" t="str">
        <x:v>saturn-34</x:v>
      </x:c>
      <x:c r="B355" s="9" t="str">
        <x:v>shinseiki-evangelion</x:v>
      </x:c>
      <x:c r="C355" s="9" t="str">
        <x:v>Sega Saturn</x:v>
      </x:c>
      <x:c r="D355" s="9" t="str">
        <x:v>Shinseiki Evangelion</x:v>
      </x:c>
      <x:c r="E355" s="9" t="str">
        <x:v>新世紀エヴァンゲリオン / Neon Genesis Evangelion</x:v>
      </x:c>
      <x:c r="F355" s="9" t="str">
        <x:v>Sega</x:v>
      </x:c>
      <x:c r="G355" s="9" t="str">
        <x:v>Sega (JP)</x:v>
      </x:c>
      <x:c r="H355" s="9" t="n">
        <x:v>1996</x:v>
      </x:c>
      <x:c r="I355" s="9" t="str">
        <x:v>No</x:v>
      </x:c>
      <x:c r="J355" s="9" t="str">
        <x:v>Yes</x:v>
      </x:c>
      <x:c r="K355" s="9" t="str">
        <x:v>No</x:v>
      </x:c>
      <x:c r="L355" s="9" t="str">
        <x:v>No</x:v>
      </x:c>
      <x:c r="M355" s="9" t="str">
        <x:v>Adventure / command-based mecha battles</x:v>
      </x:c>
      <x:c r="N355" s="9" t="str">
        <x:v>Animated</x:v>
      </x:c>
      <x:c r="O355" s="9" t="n">
        <x:v>8</x:v>
      </x:c>
      <x:c r="P355" s="9" t="str">
        <x:v>Interactive movie</x:v>
      </x:c>
      <x:c r="Q355" s="9" t="str">
        <x:v>Released</x:v>
      </x:c>
      <x:c r="R355" s="9" t="str">
        <x:v>Gainax/Tatsunoko TV anime Neon Genesis Evangelion (1995)</x:v>
      </x:c>
      <x:c r="S355" s="9" t="str">
        <x:v>Interactive DVD remake (2004)</x:v>
      </x:c>
      <x:c r="T355" s="9" t="str">
        <x:v>TV series voice cast (Megumi Ogata, Megumi Hayashibara, Yuko Miyamura and others)</x:v>
      </x:c>
      <x:c r="U355" s="9" t="n">
        <x:v>2</x:v>
      </x:c>
      <x:c r="V355" s="9" t="str">
        <x:v>Yes</x:v>
      </x:c>
      <x:c r="W355" s="9" t="str">
        <x:v>Standard Saturn pad</x:v>
      </x:c>
      <x:c r="X355" s="9" t="str">
        <x:v>Med–High</x:v>
      </x:c>
      <x:c r="Y355" s="9" t="str">
        <x:v>Evangelion music and voice cast; animation is new (Tatsunoko), not lifted from the series</x:v>
      </x:c>
      <x:c r="Z355" s="9" t="str">
        <x:v>2–4 hr per route (verify)</x:v>
      </x:c>
      <x:c r="AA355" s="9" t="str">
        <x:v>The only Eva game released while the show was airing: an interactive anime where you choose Shinji's actions between movies and fight Angels with quick-time inputs.</x:v>
      </x:c>
      <x:c r="AB355" s="9" t="str">
        <x:v>None known</x:v>
      </x:c>
      <x:c r="AC355" s="9" t="str">
        <x:v>Newly animated cel movies (Tatsunoko Production, script Hiroshi Yamaguchi) with full TV voice cast; battles are 'command visual battles' with timed inputs over animation</x:v>
      </x:c>
      <x:c r="AD355" s="9" t="str">
        <x:v>Moderate; battles need laserdisc-game reflexes</x:v>
      </x:c>
      <x:c r="AE355" s="9" t="str">
        <x:v>Multiple; three routes (wandering, school, battle) and bad endings</x:v>
      </x:c>
      <x:c r="AF355" s="9" t="str">
        <x:v>Set between episodes 9 and 10; amnesiac Shinji can form the 'Earth Defense Band' with Hikari singing the original song 'Kiseki no Senshi Evangelion'. An original Angel was designed by Ikuto Yamashita.</x:v>
      </x:c>
      <x:c r="AG355" s="9" t="str">
        <x:v>Original (1 Mar 1996); budget reprint with new package (14 Feb 1997)</x:v>
      </x:c>
      <x:c r="AH355" s="9" t="str">
        <x:v>No</x:v>
      </x:c>
      <x:c r="AI355" s="9" t="str">
        <x:v>Import</x:v>
      </x:c>
      <x:c r="AJ355" s="9"/>
      <x:c r="AK355" s="9" t="str">
        <x:v>Japanese Wikipedia: an interactive movie of animation with choices between movies, plus a replay mode to watch your playthrough as continuous animation. Sega Saturn Magazine scored it 22/30. Disc count unconfirmed (1 or 2).</x:v>
      </x:c>
      <x:c r="AL355" s="10" t="n">
        <x:v>9.23</x:v>
      </x:c>
      <x:c r="AM355" s="10" t="n">
        <x:v>11.99</x:v>
      </x:c>
      <x:c r="AN355" s="10" t="n">
        <x:v>20</x:v>
      </x:c>
      <x:c r="AO355" s="9" t="str">
        <x:v>2026-10-21</x:v>
      </x:c>
      <x:c r="AP355" s="11" t="str">
        <x:f>HYPERLINK("https://www.pricecharting.com/game/jp-sega-saturn/neon-genesis-evangelion","PriceCharting")</x:f>
        <x:v>PriceCharting</x:v>
      </x:c>
      <x:c r="AQ355" s="9"/>
      <x:c r="AR355" s="9"/>
      <x:c r="AS355" s="9"/>
      <x:c r="AT355" s="9"/>
      <x:c r="AU355" s="9"/>
      <x:c r="AV355" s="9"/>
      <x:c r="AW355" s="9"/>
      <x:c r="AX355" s="9"/>
      <x:c r="AY355" s="9"/>
      <x:c r="AZ355" s="9" t="str">
        <x:v>5.0</x:v>
      </x:c>
      <x:c r="BA355" s="11" t="str">
        <x:f>HYPERLINK("https://www.mobygames.com/search/?q=Shinseiki+Evangelion","MobyGames")</x:f>
        <x:v>MobyGames</x:v>
      </x:c>
      <x:c r="BB355" s="9"/>
      <x:c r="BC355" s="9"/>
      <x:c r="BD355" s="9"/>
      <x:c r="BE355" s="9"/>
      <x:c r="BF355" s="11" t="str">
        <x:f>HYPERLINK("https://backloggd.com/search/games/Shinseiki%20Evangelion/","Backloggd")</x:f>
        <x:v>Backloggd</x:v>
      </x:c>
      <x:c r="BG355" s="11" t="str">
        <x:f>HYPERLINK("https://segaretro.org/Shinseiki_Evangelion","Sega Retro")</x:f>
        <x:v>Sega Retro</x:v>
      </x:c>
      <x:c r="BH355" s="9"/>
      <x:c r="BI355" s="12" t="str">
        <x:v>No</x:v>
      </x:c>
      <x:c r="BJ355" s="12" t="str"/>
      <x:c r="BK355" s="12" t="str">
        <x:v>No</x:v>
      </x:c>
      <x:c r="BL355" s="12" t="str"/>
      <x:c r="BM355" s="12" t="str"/>
      <x:c r="BN355" s="12" t="str"/>
      <x:c r="BO355" s="12" t="str"/>
      <x:c r="BP355" s="12" t="str"/>
      <x:c r="BQ355" s="12" t="str"/>
    </x:row>
    <x:row r="356">
      <x:c r="A356" s="9" t="str">
        <x:v>saturn-35</x:v>
      </x:c>
      <x:c r="B356" s="9" t="str">
        <x:v>shinseiki-evangelion-2nd-impression</x:v>
      </x:c>
      <x:c r="C356" s="9" t="str">
        <x:v>Sega Saturn</x:v>
      </x:c>
      <x:c r="D356" s="9" t="str">
        <x:v>Shinseiki Evangelion: 2nd Impression</x:v>
      </x:c>
      <x:c r="E356" s="9" t="str">
        <x:v>新世紀エヴァンゲリオン 2nd Impression / Neon Genesis Evangelion: Second Impression</x:v>
      </x:c>
      <x:c r="F356" s="9" t="str">
        <x:v>Sega</x:v>
      </x:c>
      <x:c r="G356" s="9" t="str">
        <x:v>Sega (JP)</x:v>
      </x:c>
      <x:c r="H356" s="9" t="n">
        <x:v>1997</x:v>
      </x:c>
      <x:c r="I356" s="9" t="str">
        <x:v>No</x:v>
      </x:c>
      <x:c r="J356" s="9" t="str">
        <x:v>Yes</x:v>
      </x:c>
      <x:c r="K356" s="9" t="str">
        <x:v>No</x:v>
      </x:c>
      <x:c r="L356" s="9" t="str">
        <x:v>No</x:v>
      </x:c>
      <x:c r="M356" s="9" t="str">
        <x:v>Anime adventure with polygon battles</x:v>
      </x:c>
      <x:c r="N356" s="9" t="str">
        <x:v>Animated</x:v>
      </x:c>
      <x:c r="O356" s="9" t="n">
        <x:v>6</x:v>
      </x:c>
      <x:c r="P356" s="9" t="str">
        <x:v>Interactive movie</x:v>
      </x:c>
      <x:c r="Q356" s="9" t="str">
        <x:v>Released</x:v>
      </x:c>
      <x:c r="R356" s="9" t="str">
        <x:v>Original side story to the Evangelion TV anime (new pilot Mayumi Yamagishi)</x:v>
      </x:c>
      <x:c r="S356" s="9" t="str">
        <x:v>None</x:v>
      </x:c>
      <x:c r="T356" s="9" t="str">
        <x:v>TV series voice cast (Megumi Ogata, Yuko Miyamura, Megumi Hayashibara and others); Kyoko Hikami (Mayumi Yamagishi)</x:v>
      </x:c>
      <x:c r="U356" s="9" t="n">
        <x:v>1</x:v>
      </x:c>
      <x:c r="V356" s="9" t="str">
        <x:v>Yes</x:v>
      </x:c>
      <x:c r="W356" s="9" t="str">
        <x:v>Standard Saturn pad</x:v>
      </x:c>
      <x:c r="X356" s="9" t="str">
        <x:v>Med</x:v>
      </x:c>
      <x:c r="Y356" s="9" t="str">
        <x:v>Evangelion music and voice cast; animation is new (Ashi Productions)</x:v>
      </x:c>
      <x:c r="Z356" s="9" t="str">
        <x:v>3–5 hr</x:v>
      </x:c>
      <x:c r="AA356" s="9" t="str">
        <x:v>Sega's second Eva game adds new pilot-classmate Mayumi Yamagishi, Ashi Productions animation and fully polygonal Eva battles.</x:v>
      </x:c>
      <x:c r="AB356" s="9" t="str">
        <x:v>None known</x:v>
      </x:c>
      <x:c r="AC356" s="9" t="str">
        <x:v>New anime movies by Ashi Productions (director Yasushi Murayama, script Hiroshi Yamaguchi); battles are polygon with weapon movies; scenario replay mode</x:v>
      </x:c>
      <x:c r="AD356" s="9" t="str">
        <x:v>Easy</x:v>
      </x:c>
      <x:c r="AE356" s="9" t="str">
        <x:v>Multiple; four main routes (Mayumi, Asuka, Rei, Earth Defense Band)</x:v>
      </x:c>
      <x:c r="AF356" s="9" t="str">
        <x:v>Set between episodes 15 and 16. Mayumi Yamagishi was created for this game; first prints came with a single CD of the two original insert songs and three Carddass Masters cards.</x:v>
      </x:c>
      <x:c r="AG356" s="9" t="str">
        <x:v>Standard JP release with single CD and cards</x:v>
      </x:c>
      <x:c r="AH356" s="9" t="str">
        <x:v>No</x:v>
      </x:c>
      <x:c r="AI356" s="9" t="str">
        <x:v>Import</x:v>
      </x:c>
      <x:c r="AJ356" s="9"/>
      <x:c r="AK356" s="9" t="str">
        <x:v>Japanese Wikipedia: sequel released about a year after the first, alongside the first game's budget reprint (14 Feb 1997); exact date not confirmed. Like the first game it is told through animated movies, so fmv raised from 2 to 6.</x:v>
      </x:c>
      <x:c r="AL356" s="10" t="n">
        <x:v>2.08</x:v>
      </x:c>
      <x:c r="AM356" s="10" t="n">
        <x:v>3.74</x:v>
      </x:c>
      <x:c r="AN356" s="10" t="n">
        <x:v>16.09</x:v>
      </x:c>
      <x:c r="AO356" s="9" t="str">
        <x:v>2026-10-21</x:v>
      </x:c>
      <x:c r="AP356" s="11" t="str">
        <x:f>HYPERLINK("https://www.pricecharting.com/game/jp-sega-saturn/neon-genesis-evangelion-2nd-impression","PriceCharting")</x:f>
        <x:v>PriceCharting</x:v>
      </x:c>
      <x:c r="AQ356" s="9"/>
      <x:c r="AR356" s="9"/>
      <x:c r="AS356" s="9"/>
      <x:c r="AT356" s="9"/>
      <x:c r="AU356" s="9"/>
      <x:c r="AV356" s="9"/>
      <x:c r="AW356" s="9"/>
      <x:c r="AX356" s="9"/>
      <x:c r="AY356" s="9"/>
      <x:c r="AZ356" s="9"/>
      <x:c r="BA356" s="11" t="str">
        <x:f>HYPERLINK("https://www.mobygames.com/search/?q=Shinseiki+Evangelion%3A+2nd+Impression","MobyGames")</x:f>
        <x:v>MobyGames</x:v>
      </x:c>
      <x:c r="BB356" s="9"/>
      <x:c r="BC356" s="9"/>
      <x:c r="BD356" s="9"/>
      <x:c r="BE356" s="9"/>
      <x:c r="BF356" s="11" t="str">
        <x:f>HYPERLINK("https://backloggd.com/search/games/Shinseiki%20Evangelion%3A%202nd%20Impression/","Backloggd")</x:f>
        <x:v>Backloggd</x:v>
      </x:c>
      <x:c r="BG356" s="11" t="str">
        <x:f>HYPERLINK("https://segaretro.org/Shinseiki_Evangelion:_2nd_Impression","Sega Retro")</x:f>
        <x:v>Sega Retro</x:v>
      </x:c>
      <x:c r="BH356" s="9"/>
      <x:c r="BI356" s="12" t="str">
        <x:v>No</x:v>
      </x:c>
      <x:c r="BJ356" s="12" t="str"/>
      <x:c r="BK356" s="12" t="str">
        <x:v>No</x:v>
      </x:c>
      <x:c r="BL356" s="12" t="str"/>
      <x:c r="BM356" s="12" t="str"/>
      <x:c r="BN356" s="12" t="str"/>
      <x:c r="BO356" s="12" t="str"/>
      <x:c r="BP356" s="12" t="str"/>
      <x:c r="BQ356" s="12" t="str"/>
    </x:row>
    <x:row r="357">
      <x:c r="A357" s="9" t="str">
        <x:v>saturn-36</x:v>
      </x:c>
      <x:c r="B357" s="9" t="str">
        <x:v>shinseiki-evangelion-koutetsu-no-girlfriend</x:v>
      </x:c>
      <x:c r="C357" s="9" t="str">
        <x:v>Sega Saturn</x:v>
      </x:c>
      <x:c r="D357" s="9" t="str">
        <x:v>Shinseiki Evangelion: Koutetsu no Girlfriend</x:v>
      </x:c>
      <x:c r="E357" s="9" t="str">
        <x:v>新世紀エヴァンゲリオン 鋼鉄のガールフレンド / Neon Genesis Evangelion: Girlfriend of Steel</x:v>
      </x:c>
      <x:c r="F357" s="9" t="str">
        <x:v>Gainax</x:v>
      </x:c>
      <x:c r="G357" s="9" t="str">
        <x:v>Sega (JP)</x:v>
      </x:c>
      <x:c r="H357" s="9" t="n">
        <x:v>1998</x:v>
      </x:c>
      <x:c r="I357" s="9" t="str">
        <x:v>No</x:v>
      </x:c>
      <x:c r="J357" s="9" t="str">
        <x:v>Yes</x:v>
      </x:c>
      <x:c r="K357" s="9" t="str">
        <x:v>No</x:v>
      </x:c>
      <x:c r="L357" s="9" t="str">
        <x:v>No</x:v>
      </x:c>
      <x:c r="M357" s="9" t="str">
        <x:v>Visual novel</x:v>
      </x:c>
      <x:c r="N357" s="9" t="str">
        <x:v>Animated</x:v>
      </x:c>
      <x:c r="O357" s="9" t="n">
        <x:v>3</x:v>
      </x:c>
      <x:c r="P357" s="9" t="str">
        <x:v>Cutscenes only</x:v>
      </x:c>
      <x:c r="Q357" s="9" t="str">
        <x:v>Released</x:v>
      </x:c>
      <x:c r="R357" s="9" t="str">
        <x:v>Original Gainax story set in the Evangelion TV continuity</x:v>
      </x:c>
      <x:c r="S357" s="9" t="str">
        <x:v>Windows (1997), Macintosh, PlayStation (1998); Special Edition PS2/Windows (2006), PSP (2009)</x:v>
      </x:c>
      <x:c r="T357" s="9" t="str">
        <x:v>Megumi Hayashibara (Mana Kirishima), Hiro Yuuki (Musashi), TV series voice cast</x:v>
      </x:c>
      <x:c r="U357" s="9" t="n">
        <x:v>2</x:v>
      </x:c>
      <x:c r="V357" s="9" t="str">
        <x:v>Yes</x:v>
      </x:c>
      <x:c r="W357" s="9" t="str">
        <x:v>Standard Saturn pad</x:v>
      </x:c>
      <x:c r="X357" s="9" t="str">
        <x:v>Med–High</x:v>
      </x:c>
      <x:c r="Y357" s="9" t="str">
        <x:v>Evangelion music; new animation from Gainax</x:v>
      </x:c>
      <x:c r="Z357" s="9" t="str">
        <x:v>2–4 hr</x:v>
      </x:c>
      <x:c r="AA357" s="9" t="str">
        <x:v>Gainax's own Eva story, with new animation: transfer student Mana Kirishima falls for Shinji, and Asuka suspects she is a spy.</x:v>
      </x:c>
      <x:c r="AB357" s="9" t="str">
        <x:v>None known</x:v>
      </x:c>
      <x:c r="AC357" s="9" t="str">
        <x:v>Newly produced anime (director Tatsuo Hashimoto, animation director Teishi Hiramatsu); window size verify</x:v>
      </x:c>
      <x:c r="AD357" s="9" t="str">
        <x:v>Easy</x:v>
      </x:c>
      <x:c r="AE357" s="9" t="str">
        <x:v>Three endings (Mana, Asuka, Kaji); a fourth was added in the Special Edition</x:v>
      </x:c>
      <x:c r="AF357" s="9" t="str">
        <x:v>Won the 1997 Animation Kobe award for interactive software. A Mac version was made after fans collected signatures. Ending song 'Yokan' by Yoko Takahashi.</x:v>
      </x:c>
      <x:c r="AG357" s="9" t="str">
        <x:v>Saturn release 1998; PS port 1998; Special Edition (PS2/PC 2006, PSP 2009) adds scenes</x:v>
      </x:c>
      <x:c r="AH357" s="9" t="str">
        <x:v>No</x:v>
      </x:c>
      <x:c r="AI357" s="9" t="str">
        <x:v>Import</x:v>
      </x:c>
      <x:c r="AJ357" s="9"/>
      <x:c r="AK357" s="9" t="str">
        <x:v>Saturn and PS versions came out in 1998, after the 1997 Windows original (Japanese Wikipedia). Interactivity is mostly walking between plot events. Saturn publisher and disc count unconfirmed.</x:v>
      </x:c>
      <x:c r="AL357" s="10" t="n">
        <x:v>14.08</x:v>
      </x:c>
      <x:c r="AM357" s="10" t="n">
        <x:v>14.08</x:v>
      </x:c>
      <x:c r="AN357" s="10" t="n">
        <x:v>28.37</x:v>
      </x:c>
      <x:c r="AO357" s="9" t="str">
        <x:v>2026-10-21</x:v>
      </x:c>
      <x:c r="AP357" s="11" t="str">
        <x:f>HYPERLINK("https://www.pricecharting.com/game/jp-sega-saturn/neon-genesis-evangelion-girlfriend-of-steel","PriceCharting")</x:f>
        <x:v>PriceCharting</x:v>
      </x:c>
      <x:c r="AQ357" s="9"/>
      <x:c r="AR357" s="9"/>
      <x:c r="AS357" s="9"/>
      <x:c r="AT357" s="9"/>
      <x:c r="AU357" s="9"/>
      <x:c r="AV357" s="9"/>
      <x:c r="AW357" s="9"/>
      <x:c r="AX357" s="9"/>
      <x:c r="AY357" s="9"/>
      <x:c r="AZ357" s="9" t="str">
        <x:v>3.7</x:v>
      </x:c>
      <x:c r="BA357" s="11" t="str">
        <x:f>HYPERLINK("https://www.mobygames.com/search/?q=Shinseiki+Evangelion%3A+Koutetsu+no+Girlfriend","MobyGames")</x:f>
        <x:v>MobyGames</x:v>
      </x:c>
      <x:c r="BB357" s="9"/>
      <x:c r="BC357" s="9"/>
      <x:c r="BD357" s="9"/>
      <x:c r="BE357" s="11" t="str">
        <x:f>HYPERLINK("https://en.wikipedia.org/wiki/Neon_Genesis_Evangelion:_Girlfriend_of_Steel","Wikipedia")</x:f>
        <x:v>Wikipedia</x:v>
      </x:c>
      <x:c r="BF357" s="11" t="str">
        <x:f>HYPERLINK("https://backloggd.com/search/games/Shinseiki%20Evangelion%3A%20Koutetsu%20no%20Girlfriend/","Backloggd")</x:f>
        <x:v>Backloggd</x:v>
      </x:c>
      <x:c r="BG357" s="11" t="str">
        <x:f>HYPERLINK("https://segaretro.org/Shinseiki_Evangelion:_Koutetsu_no_Girlfriend","Sega Retro")</x:f>
        <x:v>Sega Retro</x:v>
      </x:c>
      <x:c r="BH357" s="9"/>
      <x:c r="BI357" s="12" t="str">
        <x:v>No</x:v>
      </x:c>
      <x:c r="BJ357" s="12" t="str"/>
      <x:c r="BK357" s="12" t="str">
        <x:v>No</x:v>
      </x:c>
      <x:c r="BL357" s="12" t="str"/>
      <x:c r="BM357" s="12" t="str"/>
      <x:c r="BN357" s="12" t="str"/>
      <x:c r="BO357" s="12" t="str"/>
      <x:c r="BP357" s="12" t="str"/>
      <x:c r="BQ357" s="12" t="str"/>
    </x:row>
    <x:row r="358">
      <x:c r="A358" s="9" t="str">
        <x:v>saturn-37</x:v>
      </x:c>
      <x:c r="B358" s="9" t="str">
        <x:v>macross-do-you-remember-love</x:v>
      </x:c>
      <x:c r="C358" s="9" t="str">
        <x:v>Sega Saturn</x:v>
      </x:c>
      <x:c r="D358" s="9" t="str">
        <x:v>Macross: Do You Remember Love?</x:v>
      </x:c>
      <x:c r="E358" s="9" t="str">
        <x:v>超時空要塞マクロス 愛・おぼえていますか / Chō Jikū Yōsai Macross: Ai Oboete Imasu ka</x:v>
      </x:c>
      <x:c r="F358" s="9" t="str">
        <x:v>Scarab</x:v>
      </x:c>
      <x:c r="G358" s="9" t="str">
        <x:v>Bandai Visual (JP)</x:v>
      </x:c>
      <x:c r="H358" s="9" t="n">
        <x:v>1997</x:v>
      </x:c>
      <x:c r="I358" s="9" t="str">
        <x:v>No</x:v>
      </x:c>
      <x:c r="J358" s="9" t="str">
        <x:v>Yes</x:v>
      </x:c>
      <x:c r="K358" s="9" t="str">
        <x:v>No</x:v>
      </x:c>
      <x:c r="L358" s="9" t="str">
        <x:v>No</x:v>
      </x:c>
      <x:c r="M358" s="9" t="str">
        <x:v>Side-scrolling shoot 'em up</x:v>
      </x:c>
      <x:c r="N358" s="9" t="str">
        <x:v>Animated</x:v>
      </x:c>
      <x:c r="O358" s="9" t="n">
        <x:v>5</x:v>
      </x:c>
      <x:c r="P358" s="9" t="str">
        <x:v>Cutscenes only</x:v>
      </x:c>
      <x:c r="Q358" s="9" t="str">
        <x:v>Released</x:v>
      </x:c>
      <x:c r="R358" s="9" t="str">
        <x:v>1984 anime film Macross: Do You Remember Love?</x:v>
      </x:c>
      <x:c r="S358" s="9" t="str">
        <x:v>PlayStation (1999), PS3 download (2012)</x:v>
      </x:c>
      <x:c r="T358" s="9" t="str">
        <x:v>Film voice cast incl. Mari Iijima (Lynn Minmay); archive recordings of Arihiro Hase (Hikaru) in the intro</x:v>
      </x:c>
      <x:c r="U358" s="9" t="n">
        <x:v>2</x:v>
      </x:c>
      <x:c r="V358" s="9" t="str">
        <x:v>Yes</x:v>
      </x:c>
      <x:c r="W358" s="9" t="str">
        <x:v>Standard Saturn pad</x:v>
      </x:c>
      <x:c r="X358" s="9" t="str">
        <x:v>HIGH</x:v>
      </x:c>
      <x:c r="Y358" s="9" t="str">
        <x:v>Footage from the 1984 film and its songs ('Ai Oboete Imasu ka' by Mari Iijima)</x:v>
      </x:c>
      <x:c r="Z358" s="9" t="str">
        <x:v>1–2 hr</x:v>
      </x:c>
      <x:c r="AA358" s="9" t="str">
        <x:v>A shooter that walks you through the whole Macross movie, with the film's footage streamed between stages.</x:v>
      </x:c>
      <x:c r="AB358" s="9" t="str">
        <x:v>None known</x:v>
      </x:c>
      <x:c r="AC358" s="9" t="str">
        <x:v>Footage from the 1984 film plus all-new animated sequences, incl. a new opening supervised by Shoji Kawamori</x:v>
      </x:c>
      <x:c r="AD358" s="9" t="str">
        <x:v>Moderate</x:v>
      </x:c>
      <x:c r="AE358" s="9" t="str">
        <x:v>Linear, follows the film</x:v>
      </x:c>
      <x:c r="AF358" s="9" t="str">
        <x:v>Released for Macross's 15th anniversary. The new opening, covering the war's start (TV episodes 1–3), was later included on Macross DVD/BD sets. Gameplay system inherited from Bandai's Saturn Gundam.</x:v>
      </x:c>
      <x:c r="AG358" s="9" t="str">
        <x:v>Standard 2-disc JP release</x:v>
      </x:c>
      <x:c r="AH358" s="9" t="str">
        <x:v>No</x:v>
      </x:c>
      <x:c r="AI358" s="9" t="str">
        <x:v>Import</x:v>
      </x:c>
      <x:c r="AJ358" s="9"/>
      <x:c r="AK358" s="9" t="str">
        <x:v>Wikipedia: 2 discs, film footage plus new animation. Next Generation gave the Saturn version 2/5. Publisher Bandai Visual per the Japanese Wikipedia Saturn Gundam article; developer not confirmed. fmv 5: long film sequences between conventional shooter stages. No Saturn PriceCharting page found.</x:v>
      </x:c>
      <x:c r="AL358" s="10"/>
      <x:c r="AM358" s="10"/>
      <x:c r="AN358" s="10"/>
      <x:c r="AO358" s="9"/>
      <x:c r="AP358" s="11" t="str">
        <x:f>HYPERLINK("https://www.pricecharting.com/search-products?q=Macross%3A+Do+You+Remember+Love%3F+saturn&amp;type=prices","PriceCharting")</x:f>
        <x:v>PriceCharting</x:v>
      </x:c>
      <x:c r="AQ358" s="9"/>
      <x:c r="AR358" s="9"/>
      <x:c r="AS358" s="9"/>
      <x:c r="AT358" s="9"/>
      <x:c r="AU358" s="9"/>
      <x:c r="AV358" s="9"/>
      <x:c r="AW358" s="9"/>
      <x:c r="AX358" s="9"/>
      <x:c r="AY358" s="9"/>
      <x:c r="AZ358" s="9"/>
      <x:c r="BA358" s="11" t="str">
        <x:f>HYPERLINK("https://www.mobygames.com/game/57839","MobyGames")</x:f>
        <x:v>MobyGames</x:v>
      </x:c>
      <x:c r="BB358" s="9" t="str">
        <x:v>70%</x:v>
      </x:c>
      <x:c r="BC358" s="9" t="str">
        <x:v>GameRankings, 1 review</x:v>
      </x:c>
      <x:c r="BD358" s="9" t="str">
        <x:f>HYPERLINK("https://web.archive.org/web/20191209012043id_/https://www.gamerankings.com/saturn/575994-choujikuu-yousai-macross-ai-oboete-imasu-ka/","Source")</x:f>
        <x:v>Source</x:v>
      </x:c>
      <x:c r="BE358" s="11" t="str">
        <x:f>HYPERLINK("https://en.wikipedia.org/wiki/Macross:_Do_You_Remember_Love%3F_(video_game)","Wikipedia")</x:f>
        <x:v>Wikipedia</x:v>
      </x:c>
      <x:c r="BF358" s="11" t="str">
        <x:f>HYPERLINK("https://backloggd.com/search/games/Macross%3A%20Do%20You%20Remember%20Love%3F/","Backloggd")</x:f>
        <x:v>Backloggd</x:v>
      </x:c>
      <x:c r="BG358" s="11" t="str">
        <x:f>HYPERLINK("https://segaretro.org/Macross:_Do_You_Remember_Love%3F","Sega Retro")</x:f>
        <x:v>Sega Retro</x:v>
      </x:c>
      <x:c r="BH358" s="9"/>
      <x:c r="BI358" s="12" t="str">
        <x:v>No</x:v>
      </x:c>
      <x:c r="BJ358" s="12" t="str"/>
      <x:c r="BK358" s="12" t="str">
        <x:v>No</x:v>
      </x:c>
      <x:c r="BL358" s="12" t="str"/>
      <x:c r="BM358" s="12" t="str"/>
      <x:c r="BN358" s="12" t="str"/>
      <x:c r="BO358" s="12" t="str"/>
      <x:c r="BP358" s="12" t="str"/>
      <x:c r="BQ358" s="12" t="str"/>
    </x:row>
    <x:row r="359">
      <x:c r="A359" s="9" t="str">
        <x:v>saturn-38</x:v>
      </x:c>
      <x:c r="B359" s="9" t="str">
        <x:v>policenauts</x:v>
      </x:c>
      <x:c r="C359" s="9" t="str">
        <x:v>Sega Saturn</x:v>
      </x:c>
      <x:c r="D359" s="9" t="str">
        <x:v>Policenauts</x:v>
      </x:c>
      <x:c r="E359" s="9" t="str">
        <x:v>ポリスノーツ</x:v>
      </x:c>
      <x:c r="F359" s="9" t="str">
        <x:v>Konami (Hideo Kojima)</x:v>
      </x:c>
      <x:c r="G359" s="9" t="str">
        <x:v>Konami (JP)</x:v>
      </x:c>
      <x:c r="H359" s="9" t="n">
        <x:v>1996</x:v>
      </x:c>
      <x:c r="I359" s="9" t="str">
        <x:v>No</x:v>
      </x:c>
      <x:c r="J359" s="9" t="str">
        <x:v>Yes</x:v>
      </x:c>
      <x:c r="K359" s="9" t="str">
        <x:v>No</x:v>
      </x:c>
      <x:c r="L359" s="9" t="str">
        <x:v>No</x:v>
      </x:c>
      <x:c r="M359" s="9" t="str">
        <x:v>Adventure</x:v>
      </x:c>
      <x:c r="N359" s="9" t="str">
        <x:v>Animated</x:v>
      </x:c>
      <x:c r="O359" s="9" t="n">
        <x:v>5</x:v>
      </x:c>
      <x:c r="P359" s="9" t="str">
        <x:v>FMV adventure</x:v>
      </x:c>
      <x:c r="Q359" s="9" t="str">
        <x:v>Released</x:v>
      </x:c>
      <x:c r="R359" s="9" t="str">
        <x:v>Original game (PC-9821, 1994)</x:v>
      </x:c>
      <x:c r="S359" s="9" t="str">
        <x:v>PC-9821, 3DO, PlayStation</x:v>
      </x:c>
      <x:c r="T359" s="9" t="str">
        <x:v>Hideyuki Tanaka (Jonathan Ingram), Kikuko Inoue (Karen Hojo), Chiyoko Kawashima (Lorraine), Shozo Iizuka (Ed Brown), Yumi Touma (Ana Brown)</x:v>
      </x:c>
      <x:c r="U359" s="9" t="n">
        <x:v>2</x:v>
      </x:c>
      <x:c r="V359" s="9" t="str">
        <x:v>Yes</x:v>
      </x:c>
      <x:c r="W359" s="9" t="str">
        <x:v>Saturn pad; light gun (Virtua Gun) supported; Shuttle Mouse (verify)</x:v>
      </x:c>
      <x:c r="X359" s="9" t="str">
        <x:v>Low–Med</x:v>
      </x:c>
      <x:c r="Y359" s="9" t="str">
        <x:v>Original Konami music; low risk</x:v>
      </x:c>
      <x:c r="Z359" s="9" t="str">
        <x:v>10–15 hr</x:v>
      </x:c>
      <x:c r="AA359" s="9" t="str">
        <x:v>Hideo Kojima's anime cyberpunk adventure between Snatcher and Metal Gear Solid, with streamed anime cutscenes.</x:v>
      </x:c>
      <x:c r="AB359" s="9" t="str">
        <x:v>None known</x:v>
      </x:c>
      <x:c r="AC359" s="9" t="str">
        <x:v>Cel-animated FMV by Anime International Company at the 3DO's 24 fps, no Cinepak; investigation screens are stills from the movies</x:v>
      </x:c>
      <x:c r="AD359" s="9" t="str">
        <x:v>Easy; a few shooting sections</x:v>
      </x:c>
      <x:c r="AE359" s="9" t="str">
        <x:v>Single ending</x:v>
      </x:c>
      <x:c r="AF359" s="9" t="str">
        <x:v>Kojima insisted the Saturn port keep 24 fps video. A Konami of America English Saturn release was announced in 1996 and cancelled; a fan translation of the Saturn version came out in 2016.</x:v>
      </x:c>
      <x:c r="AG359" s="9" t="str">
        <x:v>Slipcase with hardbound art book; adds scenes, restores PS cuts, includes making-of videos and a Kikuko Inoue interview</x:v>
      </x:c>
      <x:c r="AH359" s="9" t="str">
        <x:v>No (fan translations: PS 2009, Saturn 2016)</x:v>
      </x:c>
      <x:c r="AI359" s="9" t="str">
        <x:v>Import</x:v>
      </x:c>
      <x:c r="AJ359" s="9"/>
      <x:c r="AK359" s="9" t="str">
        <x:v>Saturn release 13 Sep 1996, the last port (Wikipedia). Play moves seamlessly between cutscenes and stills from them, so fmv raised to 5. Disc count unconfirmed.</x:v>
      </x:c>
      <x:c r="AL359" s="10" t="n">
        <x:v>56.13</x:v>
      </x:c>
      <x:c r="AM359" s="10" t="n">
        <x:v>62.49</x:v>
      </x:c>
      <x:c r="AN359" s="10" t="n">
        <x:v>151.39</x:v>
      </x:c>
      <x:c r="AO359" s="9" t="str">
        <x:v>2026-10-21</x:v>
      </x:c>
      <x:c r="AP359" s="11" t="str">
        <x:f>HYPERLINK("https://www.pricecharting.com/game/jp-sega-saturn/policenauts","PriceCharting")</x:f>
        <x:v>PriceCharting</x:v>
      </x:c>
      <x:c r="AQ359" s="9"/>
      <x:c r="AR359" s="9"/>
      <x:c r="AS359" s="9"/>
      <x:c r="AT359" s="9"/>
      <x:c r="AU359" s="9"/>
      <x:c r="AV359" s="9"/>
      <x:c r="AW359" s="9"/>
      <x:c r="AX359" s="9"/>
      <x:c r="AY359" s="9"/>
      <x:c r="AZ359" s="9" t="str">
        <x:v>3.5</x:v>
      </x:c>
      <x:c r="BA359" s="11" t="str">
        <x:f>HYPERLINK("https://www.mobygames.com/search/?q=Policenauts","MobyGames")</x:f>
        <x:v>MobyGames</x:v>
      </x:c>
      <x:c r="BB359" s="9" t="str">
        <x:v>82%</x:v>
      </x:c>
      <x:c r="BC359" s="9" t="str">
        <x:v>average of 2 reviews on Wikipedia (Famitsu, Sega Saturn Magazine JP)</x:v>
      </x:c>
      <x:c r="BD359" s="9" t="str">
        <x:f>HYPERLINK("https://en.wikipedia.org/wiki/Policenauts","Source")</x:f>
        <x:v>Source</x:v>
      </x:c>
      <x:c r="BE359" s="11" t="str">
        <x:f>HYPERLINK("https://en.wikipedia.org/wiki/Policenauts","Wikipedia")</x:f>
        <x:v>Wikipedia</x:v>
      </x:c>
      <x:c r="BF359" s="11" t="str">
        <x:f>HYPERLINK("https://backloggd.com/search/games/Policenauts/","Backloggd")</x:f>
        <x:v>Backloggd</x:v>
      </x:c>
      <x:c r="BG359" s="11" t="str">
        <x:f>HYPERLINK("https://segaretro.org/Policenauts","Sega Retro")</x:f>
        <x:v>Sega Retro</x:v>
      </x:c>
      <x:c r="BH359" s="9"/>
      <x:c r="BI359" s="12" t="str">
        <x:v>No</x:v>
      </x:c>
      <x:c r="BJ359" s="12" t="str"/>
      <x:c r="BK359" s="12" t="str">
        <x:v>No</x:v>
      </x:c>
      <x:c r="BL359" s="12" t="str"/>
      <x:c r="BM359" s="12" t="str"/>
      <x:c r="BN359" s="12" t="str"/>
      <x:c r="BO359" s="12" t="str"/>
      <x:c r="BP359" s="12" t="str"/>
      <x:c r="BQ359" s="12" t="str"/>
    </x:row>
    <x:row r="360">
      <x:c r="A360" s="9" t="str">
        <x:v>saturn-39</x:v>
      </x:c>
      <x:c r="B360" s="9" t="str">
        <x:v>3x3-eyes-kyuusei-koushu</x:v>
      </x:c>
      <x:c r="C360" s="9" t="str">
        <x:v>Sega Saturn</x:v>
      </x:c>
      <x:c r="D360" s="9" t="str">
        <x:v>3x3 Eyes: Kyuusei Koushu</x:v>
      </x:c>
      <x:c r="E360" s="9" t="str">
        <x:v>3×3 EYES ～吸精公主～ S</x:v>
      </x:c>
      <x:c r="F360" s="9" t="str">
        <x:v>Nihon Create</x:v>
      </x:c>
      <x:c r="G360" s="9" t="str">
        <x:v>Unknown — verify</x:v>
      </x:c>
      <x:c r="H360" s="9"/>
      <x:c r="I360" s="9" t="str">
        <x:v>No</x:v>
      </x:c>
      <x:c r="J360" s="9" t="str">
        <x:v>Yes</x:v>
      </x:c>
      <x:c r="K360" s="9" t="str">
        <x:v>No</x:v>
      </x:c>
      <x:c r="L360" s="9" t="str">
        <x:v>No</x:v>
      </x:c>
      <x:c r="M360" s="9" t="str">
        <x:v>Adventure</x:v>
      </x:c>
      <x:c r="N360" s="9" t="str">
        <x:v>Animated</x:v>
      </x:c>
      <x:c r="O360" s="9" t="n">
        <x:v>3</x:v>
      </x:c>
      <x:c r="P360" s="9" t="str">
        <x:v>Cutscenes only</x:v>
      </x:c>
      <x:c r="Q360" s="9" t="str">
        <x:v>Released</x:v>
      </x:c>
      <x:c r="R360" s="9" t="str">
        <x:v>Yuzo Takada manga 3×3 Eyes and its OVA</x:v>
      </x:c>
      <x:c r="S360" s="9" t="str">
        <x:v>Windows 95, PlayStation; collected in 3×3 Eyes Memorial DVD box (2002)</x:v>
      </x:c>
      <x:c r="T360" s="9" t="str">
        <x:v>—</x:v>
      </x:c>
      <x:c r="U360" s="9" t="n">
        <x:v>2</x:v>
      </x:c>
      <x:c r="V360" s="9" t="str">
        <x:v>Yes</x:v>
      </x:c>
      <x:c r="W360" s="9" t="str">
        <x:v>Standard Saturn pad</x:v>
      </x:c>
      <x:c r="X360" s="9" t="str">
        <x:v>Med</x:v>
      </x:c>
      <x:c r="Y360" s="9" t="str">
        <x:v>Licensed anime material</x:v>
      </x:c>
      <x:c r="Z360" s="9" t="str">
        <x:v>4–6 hr</x:v>
      </x:c>
      <x:c r="AA360" s="9" t="str">
        <x:v>A 3×3 Eyes adventure with original anime scenes.</x:v>
      </x:c>
      <x:c r="AB360" s="9" t="str">
        <x:v>None known</x:v>
      </x:c>
      <x:c r="AC360" s="9" t="str">
        <x:v>Streamed anime cutscenes (verify)</x:v>
      </x:c>
      <x:c r="AD360" s="9" t="str">
        <x:v>Unknown — verify</x:v>
      </x:c>
      <x:c r="AE360" s="9" t="str">
        <x:v>Unknown — verify</x:v>
      </x:c>
      <x:c r="AF360" s="9" t="str"/>
      <x:c r="AG360" s="9" t="str">
        <x:v>Unknown — verify</x:v>
      </x:c>
      <x:c r="AH360" s="9" t="str">
        <x:v>No</x:v>
      </x:c>
      <x:c r="AI360" s="9" t="str">
        <x:v>Import</x:v>
      </x:c>
      <x:c r="AJ360" s="9"/>
      <x:c r="AK360" s="9" t="str">
        <x:v>en Wikipedia: Nihon Create game first on Windows 95 and PlayStation, then ported to Saturn as 'Kyuusei Koushu S'. Saturn release date, publisher, disc count and amount of streamed anime unconfirmed; year left blank because the Saturn port followed the PS release.</x:v>
      </x:c>
      <x:c r="AL360" s="10" t="n">
        <x:v>6.95</x:v>
      </x:c>
      <x:c r="AM360" s="10" t="n">
        <x:v>10</x:v>
      </x:c>
      <x:c r="AN360" s="10" t="n">
        <x:v>17</x:v>
      </x:c>
      <x:c r="AO360" s="9" t="str">
        <x:v>2026-10-21</x:v>
      </x:c>
      <x:c r="AP360" s="11" t="str">
        <x:f>HYPERLINK("https://www.pricecharting.com/game/jp-sega-saturn/3x3-eyes","PriceCharting")</x:f>
        <x:v>PriceCharting</x:v>
      </x:c>
      <x:c r="AQ360" s="9"/>
      <x:c r="AR360" s="9"/>
      <x:c r="AS360" s="9"/>
      <x:c r="AT360" s="9"/>
      <x:c r="AU360" s="9"/>
      <x:c r="AV360" s="9"/>
      <x:c r="AW360" s="9"/>
      <x:c r="AX360" s="9"/>
      <x:c r="AY360" s="9"/>
      <x:c r="AZ360" s="9"/>
      <x:c r="BA360" s="11" t="str">
        <x:f>HYPERLINK("https://www.mobygames.com/search/?q=3x3+Eyes%3A+Kyuusei+Koushu","MobyGames")</x:f>
        <x:v>MobyGames</x:v>
      </x:c>
      <x:c r="BB360" s="9"/>
      <x:c r="BC360" s="9"/>
      <x:c r="BD360" s="9"/>
      <x:c r="BE360" s="9"/>
      <x:c r="BF360" s="11" t="str">
        <x:f>HYPERLINK("https://backloggd.com/search/games/3x3%20Eyes%3A%20Kyuusei%20Koushu/","Backloggd")</x:f>
        <x:v>Backloggd</x:v>
      </x:c>
      <x:c r="BG360" s="11" t="str">
        <x:f>HYPERLINK("https://segaretro.org/3x3_Eyes:_Kyuusei_Koushu","Sega Retro")</x:f>
        <x:v>Sega Retro</x:v>
      </x:c>
      <x:c r="BH360" s="9"/>
      <x:c r="BI360" s="12" t="str">
        <x:v>No</x:v>
      </x:c>
      <x:c r="BJ360" s="12" t="str"/>
      <x:c r="BK360" s="12" t="str">
        <x:v>No</x:v>
      </x:c>
      <x:c r="BL360" s="12" t="str"/>
      <x:c r="BM360" s="12" t="str"/>
      <x:c r="BN360" s="12" t="str"/>
      <x:c r="BO360" s="12" t="str"/>
      <x:c r="BP360" s="12" t="str"/>
      <x:c r="BQ360" s="12" t="str"/>
    </x:row>
    <x:row r="361">
      <x:c r="A361" s="9" t="str">
        <x:v>saturn-40</x:v>
      </x:c>
      <x:c r="B361" s="9" t="str">
        <x:v>kidou-senshi-gundam-saturn</x:v>
      </x:c>
      <x:c r="C361" s="9" t="str">
        <x:v>Sega Saturn</x:v>
      </x:c>
      <x:c r="D361" s="9" t="str">
        <x:v>Kidou Senshi Gundam</x:v>
      </x:c>
      <x:c r="E361" s="9" t="str">
        <x:v>機動戦士ガンダム / Mobile Suit Gundam</x:v>
      </x:c>
      <x:c r="F361" s="9" t="str">
        <x:v>Bandai (verify)</x:v>
      </x:c>
      <x:c r="G361" s="9" t="str">
        <x:v>Bandai (JP)</x:v>
      </x:c>
      <x:c r="H361" s="9" t="n">
        <x:v>1995</x:v>
      </x:c>
      <x:c r="I361" s="9" t="str">
        <x:v>No</x:v>
      </x:c>
      <x:c r="J361" s="9" t="str">
        <x:v>Yes</x:v>
      </x:c>
      <x:c r="K361" s="9" t="str">
        <x:v>No</x:v>
      </x:c>
      <x:c r="L361" s="9" t="str">
        <x:v>No</x:v>
      </x:c>
      <x:c r="M361" s="9" t="str">
        <x:v>Side-scrolling shooter with depth lock-on</x:v>
      </x:c>
      <x:c r="N361" s="9" t="str">
        <x:v>Animated</x:v>
      </x:c>
      <x:c r="O361" s="9" t="n">
        <x:v>3</x:v>
      </x:c>
      <x:c r="P361" s="9" t="str">
        <x:v>Cutscenes only</x:v>
      </x:c>
      <x:c r="Q361" s="9" t="str">
        <x:v>Released</x:v>
      </x:c>
      <x:c r="R361" s="9" t="str">
        <x:v>Mobile Suit Gundam (1979 TV anime / films)</x:v>
      </x:c>
      <x:c r="S361" s="9" t="str">
        <x:v>None</x:v>
      </x:c>
      <x:c r="T361" s="9" t="str">
        <x:v>Original anime voice cast in reused footage (verify)</x:v>
      </x:c>
      <x:c r="U361" s="9" t="n">
        <x:v>1</x:v>
      </x:c>
      <x:c r="V361" s="9" t="str">
        <x:v>Yes</x:v>
      </x:c>
      <x:c r="W361" s="9" t="str">
        <x:v>Standard Saturn pad</x:v>
      </x:c>
      <x:c r="X361" s="9" t="str">
        <x:v>Med–High</x:v>
      </x:c>
      <x:c r="Y361" s="9" t="str">
        <x:v>Footage and music from the Gundam anime</x:v>
      </x:c>
      <x:c r="Z361" s="9" t="str">
        <x:v>1–2 hr</x:v>
      </x:c>
      <x:c r="AA361" s="9" t="str">
        <x:v>Bandai's first Gundam on Sega hardware replays the One Year War in 12 stages, with famous scenes newly reanimated by Sunrise.</x:v>
      </x:c>
      <x:c r="AB361" s="9" t="str">
        <x:v>None known</x:v>
      </x:c>
      <x:c r="AC361" s="9" t="str">
        <x:v>New animation of classic scenes made by Sunrise for the game, plus voiced cut-ins at boss fights</x:v>
      </x:c>
      <x:c r="AD361" s="9" t="str">
        <x:v>Moderate; Hard mode adds a Zeong Head fight</x:v>
      </x:c>
      <x:c r="AE361" s="9" t="str">
        <x:v>Linear; first clear shows new anime stills, later clears a CG mobile suit gallery</x:v>
      </x:c>
      <x:c r="AF361" s="9" t="str">
        <x:v>Released 22 Nov 1995. The new animation was later included on a Gundam film LD box and reused in the PS2 Mobile Suit Gundam.</x:v>
      </x:c>
      <x:c r="AG361" s="9" t="str">
        <x:v>Unknown — verify</x:v>
      </x:c>
      <x:c r="AH361" s="9" t="str">
        <x:v>No</x:v>
      </x:c>
      <x:c r="AI361" s="9" t="str">
        <x:v>Import</x:v>
      </x:c>
      <x:c r="AJ361" s="9"/>
      <x:c r="AK361" s="9" t="str">
        <x:v>Japanese Wikipedia: side-scroller where enemies also attack from the foreground and background; scenario follows the films with TV elements. fmv 3 for the new Sunrise animation between stages.</x:v>
      </x:c>
      <x:c r="AL361" s="10" t="n">
        <x:v>9.07</x:v>
      </x:c>
      <x:c r="AM361" s="10" t="n">
        <x:v>9.07</x:v>
      </x:c>
      <x:c r="AN361" s="10" t="n">
        <x:v>32.99</x:v>
      </x:c>
      <x:c r="AO361" s="9" t="str">
        <x:v>2026-10-21</x:v>
      </x:c>
      <x:c r="AP361" s="11" t="str">
        <x:f>HYPERLINK("https://www.pricecharting.com/game/jp-sega-saturn/mobile-suit-gundam","PriceCharting")</x:f>
        <x:v>PriceCharting</x:v>
      </x:c>
      <x:c r="AQ361" s="9"/>
      <x:c r="AR361" s="9"/>
      <x:c r="AS361" s="9"/>
      <x:c r="AT361" s="9"/>
      <x:c r="AU361" s="9"/>
      <x:c r="AV361" s="9"/>
      <x:c r="AW361" s="9"/>
      <x:c r="AX361" s="9"/>
      <x:c r="AY361" s="9"/>
      <x:c r="AZ361" s="9"/>
      <x:c r="BA361" s="11" t="str">
        <x:f>HYPERLINK("https://www.mobygames.com/search/?q=Kidou+Senshi+Gundam","MobyGames")</x:f>
        <x:v>MobyGames</x:v>
      </x:c>
      <x:c r="BB361" s="9"/>
      <x:c r="BC361" s="9"/>
      <x:c r="BD361" s="9"/>
      <x:c r="BE361" s="9"/>
      <x:c r="BF361" s="11" t="str">
        <x:f>HYPERLINK("https://backloggd.com/search/games/Kidou%20Senshi%20Gundam/","Backloggd")</x:f>
        <x:v>Backloggd</x:v>
      </x:c>
      <x:c r="BG361" s="11" t="str">
        <x:f>HYPERLINK("https://segaretro.org/Kidou_Senshi_Gundam","Sega Retro")</x:f>
        <x:v>Sega Retro</x:v>
      </x:c>
      <x:c r="BH361" s="9"/>
      <x:c r="BI361" s="12" t="str">
        <x:v>No</x:v>
      </x:c>
      <x:c r="BJ361" s="12" t="str"/>
      <x:c r="BK361" s="12" t="str">
        <x:v>No</x:v>
      </x:c>
      <x:c r="BL361" s="12" t="str"/>
      <x:c r="BM361" s="12" t="str"/>
      <x:c r="BN361" s="12" t="str"/>
      <x:c r="BO361" s="12" t="str"/>
      <x:c r="BP361" s="12" t="str"/>
      <x:c r="BQ361" s="12" t="str"/>
    </x:row>
    <x:row r="362">
      <x:c r="A362" s="9" t="str">
        <x:v>saturn-41</x:v>
      </x:c>
      <x:c r="B362" s="9" t="str">
        <x:v>virus</x:v>
      </x:c>
      <x:c r="C362" s="9" t="str">
        <x:v>Sega Saturn</x:v>
      </x:c>
      <x:c r="D362" s="9" t="str">
        <x:v>Virus</x:v>
      </x:c>
      <x:c r="E362" s="9" t="str">
        <x:v>VIRUS</x:v>
      </x:c>
      <x:c r="F362" s="9" t="str">
        <x:v>Hudson Soft</x:v>
      </x:c>
      <x:c r="G362" s="9" t="str">
        <x:v>Hudson Soft (JP)</x:v>
      </x:c>
      <x:c r="H362" s="9" t="n">
        <x:v>1997</x:v>
      </x:c>
      <x:c r="I362" s="9" t="str">
        <x:v>No</x:v>
      </x:c>
      <x:c r="J362" s="9" t="str">
        <x:v>Yes</x:v>
      </x:c>
      <x:c r="K362" s="9" t="str">
        <x:v>No</x:v>
      </x:c>
      <x:c r="L362" s="9" t="str">
        <x:v>No</x:v>
      </x:c>
      <x:c r="M362" s="9" t="str">
        <x:v>Adventure</x:v>
      </x:c>
      <x:c r="N362" s="9" t="str">
        <x:v>Animated</x:v>
      </x:c>
      <x:c r="O362" s="9" t="n">
        <x:v>3</x:v>
      </x:c>
      <x:c r="P362" s="9" t="str">
        <x:v>Cutscenes only</x:v>
      </x:c>
      <x:c r="Q362" s="9" t="str">
        <x:v>Released</x:v>
      </x:c>
      <x:c r="R362" s="9" t="str">
        <x:v>Original game; adapted into the anime Virus Buster Serge (1997)</x:v>
      </x:c>
      <x:c r="S362" s="9" t="str">
        <x:v>None (Saturn only)</x:v>
      </x:c>
      <x:c r="T362" s="9" t="str">
        <x:v>—</x:v>
      </x:c>
      <x:c r="U362" s="9" t="n">
        <x:v>2</x:v>
      </x:c>
      <x:c r="V362" s="9" t="str">
        <x:v>Yes</x:v>
      </x:c>
      <x:c r="W362" s="9" t="str">
        <x:v>Standard Saturn pad</x:v>
      </x:c>
      <x:c r="X362" s="9" t="str">
        <x:v>Low–Med</x:v>
      </x:c>
      <x:c r="Y362" s="9" t="str">
        <x:v>Original anime music</x:v>
      </x:c>
      <x:c r="Z362" s="9" t="str">
        <x:v>Unknown — verify</x:v>
      </x:c>
      <x:c r="AA362" s="9" t="str">
        <x:v>Hudson's cyberpunk Saturn adventure with anime cutscenes, the seed of the Virus Buster Serge anime.</x:v>
      </x:c>
      <x:c r="AB362" s="9" t="str">
        <x:v>None known</x:v>
      </x:c>
      <x:c r="AC362" s="9" t="str">
        <x:v>Mix of anime-style animation and CG (amount streamed unconfirmed)</x:v>
      </x:c>
      <x:c r="AD362" s="9" t="str">
        <x:v>Unknown — verify</x:v>
      </x:c>
      <x:c r="AE362" s="9" t="str">
        <x:v>Unknown — verify</x:v>
      </x:c>
      <x:c r="AF362" s="9" t="str"/>
      <x:c r="AG362" s="9" t="str">
        <x:v>Unknown — verify</x:v>
      </x:c>
      <x:c r="AH362" s="9" t="str">
        <x:v>No</x:v>
      </x:c>
      <x:c r="AI362" s="9" t="str">
        <x:v>Import</x:v>
      </x:c>
      <x:c r="AJ362" s="9"/>
      <x:c r="AK362" s="9" t="str">
        <x:v>en Wikipedia: Hudson Soft developed and published it for Saturn; Next Generation gave it 2/5. Reviews in Game.EXE and Computer Gaming World suggest a PC version (verify). Disc count and amount of video unconfirmed.</x:v>
      </x:c>
      <x:c r="AL362" s="10" t="n">
        <x:v>6.7</x:v>
      </x:c>
      <x:c r="AM362" s="10" t="n">
        <x:v>6.99</x:v>
      </x:c>
      <x:c r="AN362" s="10" t="n">
        <x:v>59</x:v>
      </x:c>
      <x:c r="AO362" s="9" t="str">
        <x:v>2026-10-21</x:v>
      </x:c>
      <x:c r="AP362" s="11" t="str">
        <x:f>HYPERLINK("https://www.pricecharting.com/game/jp-sega-saturn/virus","PriceCharting")</x:f>
        <x:v>PriceCharting</x:v>
      </x:c>
      <x:c r="AQ362" s="9"/>
      <x:c r="AR362" s="9"/>
      <x:c r="AS362" s="9"/>
      <x:c r="AT362" s="9"/>
      <x:c r="AU362" s="9"/>
      <x:c r="AV362" s="9"/>
      <x:c r="AW362" s="9"/>
      <x:c r="AX362" s="9"/>
      <x:c r="AY362" s="9"/>
      <x:c r="AZ362" s="9" t="str">
        <x:v>3.5</x:v>
      </x:c>
      <x:c r="BA362" s="11" t="str">
        <x:f>HYPERLINK("https://www.mobygames.com/search/?q=Virus","MobyGames")</x:f>
        <x:v>MobyGames</x:v>
      </x:c>
      <x:c r="BB362" s="9"/>
      <x:c r="BC362" s="9"/>
      <x:c r="BD362" s="9"/>
      <x:c r="BE362" s="11" t="str">
        <x:f>HYPERLINK("https://en.wikipedia.org/wiki/Virus_(1997_video_game)","Wikipedia")</x:f>
        <x:v>Wikipedia</x:v>
      </x:c>
      <x:c r="BF362" s="11" t="str">
        <x:f>HYPERLINK("https://backloggd.com/search/games/Virus/","Backloggd")</x:f>
        <x:v>Backloggd</x:v>
      </x:c>
      <x:c r="BG362" s="11" t="str">
        <x:f>HYPERLINK("https://segaretro.org/Virus","Sega Retro")</x:f>
        <x:v>Sega Retro</x:v>
      </x:c>
      <x:c r="BH362" s="9"/>
      <x:c r="BI362" s="12" t="str">
        <x:v>No</x:v>
      </x:c>
      <x:c r="BJ362" s="12" t="str"/>
      <x:c r="BK362" s="12" t="str">
        <x:v>No</x:v>
      </x:c>
      <x:c r="BL362" s="12" t="str"/>
      <x:c r="BM362" s="12" t="str"/>
      <x:c r="BN362" s="12" t="str"/>
      <x:c r="BO362" s="12" t="str"/>
      <x:c r="BP362" s="12" t="str"/>
      <x:c r="BQ362" s="12" t="str"/>
    </x:row>
    <x:row r="363">
      <x:c r="A363" s="9" t="str">
        <x:v>saturn-42</x:v>
      </x:c>
      <x:c r="B363" s="9" t="str">
        <x:v>lunar-silver-star-story</x:v>
      </x:c>
      <x:c r="C363" s="9" t="str">
        <x:v>Sega Saturn</x:v>
      </x:c>
      <x:c r="D363" s="9" t="str">
        <x:v>Lunar: Silver Star Story</x:v>
      </x:c>
      <x:c r="E363" s="9" t="str">
        <x:v>ルナ シルバースターストーリー</x:v>
      </x:c>
      <x:c r="F363" s="9" t="str">
        <x:v>Game Arts / Japan Art Media</x:v>
      </x:c>
      <x:c r="G363" s="9" t="str">
        <x:v>Kadokawa Shoten (JP)</x:v>
      </x:c>
      <x:c r="H363" s="9" t="n">
        <x:v>1996</x:v>
      </x:c>
      <x:c r="I363" s="9" t="str">
        <x:v>No</x:v>
      </x:c>
      <x:c r="J363" s="9" t="str">
        <x:v>Yes</x:v>
      </x:c>
      <x:c r="K363" s="9" t="str">
        <x:v>No</x:v>
      </x:c>
      <x:c r="L363" s="9" t="str">
        <x:v>No</x:v>
      </x:c>
      <x:c r="M363" s="9" t="str">
        <x:v>RPG</x:v>
      </x:c>
      <x:c r="N363" s="9" t="str">
        <x:v>Animated</x:v>
      </x:c>
      <x:c r="O363" s="9" t="n">
        <x:v>2</x:v>
      </x:c>
      <x:c r="P363" s="9" t="str">
        <x:v>Cutscenes only</x:v>
      </x:c>
      <x:c r="Q363" s="9" t="str">
        <x:v>Released</x:v>
      </x:c>
      <x:c r="R363" s="9" t="str">
        <x:v>Remake of Lunar: The Silver Star (Mega CD, 1992)</x:v>
      </x:c>
      <x:c r="S363" s="9" t="str">
        <x:v>PlayStation (Lunar: Silver Star Story Complete, 1998; NA 1999 by Working Designs), Windows</x:v>
      </x:c>
      <x:c r="T363" s="9" t="str">
        <x:v>—</x:v>
      </x:c>
      <x:c r="U363" s="9" t="n">
        <x:v>1</x:v>
      </x:c>
      <x:c r="V363" s="9" t="str">
        <x:v>Yes</x:v>
      </x:c>
      <x:c r="W363" s="9" t="str">
        <x:v>Standard pad; MPEG-ban edition (1997) uses the Video CD Card</x:v>
      </x:c>
      <x:c r="X363" s="9" t="str">
        <x:v>Low–Med</x:v>
      </x:c>
      <x:c r="Y363" s="9" t="str">
        <x:v>Original songs and anime</x:v>
      </x:c>
      <x:c r="Z363" s="9" t="str">
        <x:v>25–35 hr</x:v>
      </x:c>
      <x:c r="AA363" s="9" t="str">
        <x:v>The first Lunar remake, with new anime cutscenes; the MPEG-ban edition plays them through the Saturn's Video CD Card.</x:v>
      </x:c>
      <x:c r="AB363" s="9" t="str">
        <x:v>None known</x:v>
      </x:c>
      <x:c r="AC363" s="9" t="str">
        <x:v>Fully animated anime cutscenes; MPEG-ban edition uses the Video CD Card for enhanced video</x:v>
      </x:c>
      <x:c r="AD363" s="9" t="str">
        <x:v>Easy</x:v>
      </x:c>
      <x:c r="AE363" s="9" t="str">
        <x:v>Single ending</x:v>
      </x:c>
      <x:c r="AF363" s="9" t="str">
        <x:v>The 1997 'MPEG-ban' re-release is one of the few Saturn games using the Video CD Card. Working Designs planned an English Saturn 'Director's Cut' that became the 1999 PS release.</x:v>
      </x:c>
      <x:c r="AG363" s="9" t="str">
        <x:v>Standard (4 Jul 1996); MPEG-ban (4 Jul 1997, Video CD Card)</x:v>
      </x:c>
      <x:c r="AH363" s="9" t="str">
        <x:v>Yes (Lunar Remastered Collection, Apr 2025)</x:v>
      </x:c>
      <x:c r="AI363" s="9" t="str">
        <x:v>Import</x:v>
      </x:c>
      <x:c r="AJ363" s="9"/>
      <x:c r="AK363" s="9" t="str">
        <x:v>Saturn release 4 Jul 1996 by Kadokawa Shoten (Wikipedia). fmv 2: a long RPG with anime cutscenes.</x:v>
      </x:c>
      <x:c r="AL363" s="10" t="n">
        <x:v>11.1</x:v>
      </x:c>
      <x:c r="AM363" s="10" t="n">
        <x:v>17.76</x:v>
      </x:c>
      <x:c r="AN363" s="10" t="n">
        <x:v>30</x:v>
      </x:c>
      <x:c r="AO363" s="9" t="str">
        <x:v>2026-10-21</x:v>
      </x:c>
      <x:c r="AP363" s="11" t="str">
        <x:f>HYPERLINK("https://www.pricecharting.com/game/jp-sega-saturn/lunar-silver-star-story","PriceCharting")</x:f>
        <x:v>PriceCharting</x:v>
      </x:c>
      <x:c r="AQ363" s="9"/>
      <x:c r="AR363" s="9"/>
      <x:c r="AS363" s="9"/>
      <x:c r="AT363" s="9"/>
      <x:c r="AU363" s="9"/>
      <x:c r="AV363" s="9"/>
      <x:c r="AW363" s="9"/>
      <x:c r="AX363" s="9"/>
      <x:c r="AY363" s="9"/>
      <x:c r="AZ363" s="9"/>
      <x:c r="BA363" s="11" t="str">
        <x:f>HYPERLINK("https://www.mobygames.com/search/?q=Lunar%3A+Silver+Star+Story","MobyGames")</x:f>
        <x:v>MobyGames</x:v>
      </x:c>
      <x:c r="BB363" s="9" t="str">
        <x:v>63%</x:v>
      </x:c>
      <x:c r="BC363" s="9" t="str">
        <x:v>Famitsu on Wikipedia, 1 review</x:v>
      </x:c>
      <x:c r="BD363" s="9" t="str">
        <x:f>HYPERLINK("https://en.wikipedia.org/wiki/Lunar%3A_Silver_Star_Story_Complete","Source")</x:f>
        <x:v>Source</x:v>
      </x:c>
      <x:c r="BE363" s="11" t="str">
        <x:f>HYPERLINK("https://en.wikipedia.org/wiki/Lunar:_Silver_Star_Story_Complete","Wikipedia")</x:f>
        <x:v>Wikipedia</x:v>
      </x:c>
      <x:c r="BF363" s="11" t="str">
        <x:f>HYPERLINK("https://backloggd.com/search/games/Lunar%3A%20Silver%20Star%20Story/","Backloggd")</x:f>
        <x:v>Backloggd</x:v>
      </x:c>
      <x:c r="BG363" s="11" t="str">
        <x:f>HYPERLINK("https://segaretro.org/Lunar:_Silver_Star_Story","Sega Retro")</x:f>
        <x:v>Sega Retro</x:v>
      </x:c>
      <x:c r="BH363" s="9"/>
      <x:c r="BI363" s="12" t="str">
        <x:v>No</x:v>
      </x:c>
      <x:c r="BJ363" s="12" t="str"/>
      <x:c r="BK363" s="12" t="str">
        <x:v>No</x:v>
      </x:c>
      <x:c r="BL363" s="12" t="str"/>
      <x:c r="BM363" s="12" t="str"/>
      <x:c r="BN363" s="12" t="str"/>
      <x:c r="BO363" s="12" t="str"/>
      <x:c r="BP363" s="12" t="str"/>
      <x:c r="BQ363" s="12" t="str"/>
    </x:row>
    <x:row r="364">
      <x:c r="A364" s="9" t="str">
        <x:v>saturn-43</x:v>
      </x:c>
      <x:c r="B364" s="9" t="str">
        <x:v>command-and-conquer</x:v>
      </x:c>
      <x:c r="C364" s="9" t="str">
        <x:v>Sega Saturn</x:v>
      </x:c>
      <x:c r="D364" s="9" t="str">
        <x:v>Command &amp; Conquer</x:v>
      </x:c>
      <x:c r="E364" s="9" t="str">
        <x:v>Command &amp; Conquer: Tiberian Dawn (later retronym); コマンド&amp;コンカー (JP)</x:v>
      </x:c>
      <x:c r="F364" s="9" t="str">
        <x:v>Westwood Studios</x:v>
      </x:c>
      <x:c r="G364" s="9" t="str">
        <x:v>Virgin Interactive (NA/EU); Japanese Saturn release publisher — verify</x:v>
      </x:c>
      <x:c r="H364" s="9" t="n">
        <x:v>1997</x:v>
      </x:c>
      <x:c r="I364" s="9" t="str">
        <x:v>Yes</x:v>
      </x:c>
      <x:c r="J364" s="9" t="str">
        <x:v>Yes</x:v>
      </x:c>
      <x:c r="K364" s="9" t="str">
        <x:v>Yes</x:v>
      </x:c>
      <x:c r="L364" s="9" t="str">
        <x:v>No</x:v>
      </x:c>
      <x:c r="M364" s="9" t="str">
        <x:v>Real-time strategy</x:v>
      </x:c>
      <x:c r="N364" s="9" t="str">
        <x:v>Live-action + CG</x:v>
      </x:c>
      <x:c r="O364" s="9" t="n">
        <x:v>3</x:v>
      </x:c>
      <x:c r="P364" s="9" t="str">
        <x:v>Cutscenes only</x:v>
      </x:c>
      <x:c r="Q364" s="9" t="str">
        <x:v>Released</x:v>
      </x:c>
      <x:c r="R364" s="9" t="str">
        <x:v>PC original (Westwood, 1995)</x:v>
      </x:c>
      <x:c r="S364" s="9" t="str">
        <x:v>DOS, Windows, Mac, PlayStation, Nintendo 64 (no FMV); remastered on PC 2020</x:v>
      </x:c>
      <x:c r="T364" s="9" t="str">
        <x:v>Joseph D. Kucan (Kane), Eric Alan Martin and Westwood staff</x:v>
      </x:c>
      <x:c r="U364" s="9" t="n">
        <x:v>2</x:v>
      </x:c>
      <x:c r="V364" s="9" t="str">
        <x:v>Yes</x:v>
      </x:c>
      <x:c r="W364" s="9" t="str">
        <x:v>Sega Shuttle Mouse supported (verify); standard pad</x:v>
      </x:c>
      <x:c r="X364" s="9" t="str">
        <x:v>Low–Med</x:v>
      </x:c>
      <x:c r="Y364" s="9" t="str">
        <x:v>Frank Klepacki's original score is owned by EA and has turned up in Content ID via the Remastered soundtrack (verify)</x:v>
      </x:c>
      <x:c r="Z364" s="9" t="str">
        <x:v>15–25 hr (both campaigns)</x:v>
      </x:c>
      <x:c r="AA364" s="9" t="str">
        <x:v>Kane's live-action sermons on a Saturn pad: the PC RTS that defined the genre squeezed onto Sega's 32-bit box, briefings and all.</x:v>
      </x:c>
      <x:c r="AB364" s="9" t="str">
        <x:v>None known (verify)</x:v>
      </x:c>
      <x:c r="AC364" s="9" t="str">
        <x:v>Mission briefings and CG cinematics streamed in a reduced window with visible compression; exact window size and frame rate — verify</x:v>
      </x:c>
      <x:c r="AD364" s="9" t="str">
        <x:v>Hard on a pad; late Nod and GDI missions are punishing without a mouse</x:v>
      </x:c>
      <x:c r="AE364" s="9" t="str">
        <x:v>Separate GDI and Nod endings (one per disc); Nod has multiple short ending videos chosen by the player in the PC original — verify on Saturn</x:v>
      </x:c>
      <x:c r="AF364" s="9" t="str">
        <x:v>Kane was played by Joe Kucan, Westwood's own video director. Apart from Las Vegas actor Eric Alan Martin, the live-action cast were Westwood employees.</x:v>
      </x:c>
      <x:c r="AG364" s="9" t="str">
        <x:v>GDI disc and Nod disc in one double jewel/Saturn case; PAL and JP versions</x:v>
      </x:c>
      <x:c r="AH364" s="9" t="str">
        <x:v>Yes (C&amp;C Remastered Collection, PC 2020; PC original released as freeware in 2007)</x:v>
      </x:c>
      <x:c r="AI364" s="9" t="str">
        <x:v>Easy</x:v>
      </x:c>
      <x:c r="AJ364" s="9"/>
      <x:c r="AK364" s="9" t="str">
        <x:v>Wikipedia: the Saturn and PS ports lack multiplayer, and only the PS port added the Covert Operations missions, so the Saturn version has the base campaigns only. Japanese Saturn release and publisher not confirmed by the sources (verify).</x:v>
      </x:c>
      <x:c r="AL364" s="10" t="n">
        <x:v>17.19</x:v>
      </x:c>
      <x:c r="AM364" s="10" t="n">
        <x:v>31.99</x:v>
      </x:c>
      <x:c r="AN364" s="10" t="n">
        <x:v>53.78</x:v>
      </x:c>
      <x:c r="AO364" s="9" t="str">
        <x:v>2026-10-21</x:v>
      </x:c>
      <x:c r="AP364" s="11" t="str">
        <x:f>HYPERLINK("https://www.pricecharting.com/game/sega-saturn/command-and-conquer","PriceCharting")</x:f>
        <x:v>PriceCharting</x:v>
      </x:c>
      <x:c r="AQ364" s="9"/>
      <x:c r="AR364" s="9"/>
      <x:c r="AS364" s="9"/>
      <x:c r="AT364" s="9"/>
      <x:c r="AU364" s="9"/>
      <x:c r="AV364" s="9"/>
      <x:c r="AW364" s="9"/>
      <x:c r="AX364" s="9"/>
      <x:c r="AY364" s="9" t="str">
        <x:v>89%</x:v>
      </x:c>
      <x:c r="AZ364" s="9" t="str">
        <x:v>3.7</x:v>
      </x:c>
      <x:c r="BA364" s="11" t="str">
        <x:f>HYPERLINK("https://www.mobygames.com/search/?q=Command+%26+Conquer","MobyGames")</x:f>
        <x:v>MobyGames</x:v>
      </x:c>
      <x:c r="BB364" s="9" t="str">
        <x:v>90%</x:v>
      </x:c>
      <x:c r="BC364" s="9" t="str">
        <x:v>GameRankings, 5 reviews</x:v>
      </x:c>
      <x:c r="BD364" s="9" t="str">
        <x:f>HYPERLINK("https://web.archive.org/web/20191209011150id_/https://www.gamerankings.com/saturn/196960-command-and-conquer/index.html","Source")</x:f>
        <x:v>Source</x:v>
      </x:c>
      <x:c r="BE364" s="11" t="str">
        <x:f>HYPERLINK("https://en.wikipedia.org/wiki/Command_%26_Conquer_(1995_video_game)","Wikipedia")</x:f>
        <x:v>Wikipedia</x:v>
      </x:c>
      <x:c r="BF364" s="11" t="str">
        <x:f>HYPERLINK("https://backloggd.com/search/games/Command%20%26%20Conquer/","Backloggd")</x:f>
        <x:v>Backloggd</x:v>
      </x:c>
      <x:c r="BG364" s="11" t="str">
        <x:f>HYPERLINK("https://segaretro.org/Command_%26_Conquer","Sega Retro")</x:f>
        <x:v>Sega Retro</x:v>
      </x:c>
      <x:c r="BH364" s="9"/>
      <x:c r="BI364" s="12" t="str">
        <x:v>No</x:v>
      </x:c>
      <x:c r="BJ364" s="12" t="str"/>
      <x:c r="BK364" s="12" t="str">
        <x:v>No</x:v>
      </x:c>
      <x:c r="BL364" s="12" t="str"/>
      <x:c r="BM364" s="12" t="str"/>
      <x:c r="BN364" s="12" t="str"/>
      <x:c r="BO364" s="12" t="str"/>
      <x:c r="BP364" s="12" t="str"/>
      <x:c r="BQ364" s="12" t="str"/>
    </x:row>
    <x:row r="365">
      <x:c r="A365" s="9" t="str">
        <x:v>saturn-44</x:v>
      </x:c>
      <x:c r="B365" s="9" t="str">
        <x:v>crusader-no-remorse</x:v>
      </x:c>
      <x:c r="C365" s="9" t="str">
        <x:v>Sega Saturn</x:v>
      </x:c>
      <x:c r="D365" s="9" t="str">
        <x:v>Crusader: No Remorse</x:v>
      </x:c>
      <x:c r="E365" s="9" t="str"/>
      <x:c r="F365" s="9" t="str">
        <x:v>Origin Systems (console versions rewritten by Realtime Associates)</x:v>
      </x:c>
      <x:c r="G365" s="9" t="str">
        <x:v>Electronic Arts (NA/EU)</x:v>
      </x:c>
      <x:c r="H365" s="9" t="n">
        <x:v>1997</x:v>
      </x:c>
      <x:c r="I365" s="9" t="str">
        <x:v>Yes</x:v>
      </x:c>
      <x:c r="J365" s="9" t="str">
        <x:v>No</x:v>
      </x:c>
      <x:c r="K365" s="9" t="str">
        <x:v>Yes</x:v>
      </x:c>
      <x:c r="L365" s="9" t="str">
        <x:v>No</x:v>
      </x:c>
      <x:c r="M365" s="9" t="str">
        <x:v>Isometric action shooter</x:v>
      </x:c>
      <x:c r="N365" s="9" t="str">
        <x:v>Live-action</x:v>
      </x:c>
      <x:c r="O365" s="9" t="n">
        <x:v>3</x:v>
      </x:c>
      <x:c r="P365" s="9" t="str">
        <x:v>Cutscenes only</x:v>
      </x:c>
      <x:c r="Q365" s="9" t="str">
        <x:v>Released</x:v>
      </x:c>
      <x:c r="R365" s="9" t="str">
        <x:v>PC original (Origin, 1995)</x:v>
      </x:c>
      <x:c r="S365" s="9" t="str">
        <x:v>DOS, PlayStation; PC re-release on GOG</x:v>
      </x:c>
      <x:c r="T365" s="9" t="str">
        <x:v>Live-action cast in rebel-base and WEC cutscenes (names not confirmed)</x:v>
      </x:c>
      <x:c r="U365" s="9" t="n">
        <x:v>1</x:v>
      </x:c>
      <x:c r="V365" s="9" t="str">
        <x:v>Yes</x:v>
      </x:c>
      <x:c r="W365" s="9" t="str">
        <x:v>Standard pad</x:v>
      </x:c>
      <x:c r="X365" s="9" t="str">
        <x:v>Low</x:v>
      </x:c>
      <x:c r="Y365" s="9" t="str"/>
      <x:c r="Z365" s="9" t="str">
        <x:v>8–12 hr</x:v>
      </x:c>
      <x:c r="AA365" s="9" t="str">
        <x:v>A faceless red-armoured Silencer, exploding office workers and B-movie live-action rebels: Origin's cult shooter on Saturn.</x:v>
      </x:c>
      <x:c r="AB365" s="9" t="str">
        <x:v>None known (verify)</x:v>
      </x:c>
      <x:c r="AC365" s="9" t="str">
        <x:v>Live-action mission briefings and cutscenes in a letterboxed window with heavy compression — verify size and frame rate</x:v>
      </x:c>
      <x:c r="AD365" s="9" t="str">
        <x:v>Hard; tight resources and instant-death traps</x:v>
      </x:c>
      <x:c r="AE365" s="9" t="str">
        <x:v>Linear, one ending</x:v>
      </x:c>
      <x:c r="AF365" s="9" t="str">
        <x:v>The console ports were rewritten from scratch at 320x240 and added new music; the Saturn's second CPU handles background calculations. Producer Jorg Newman called it 'a very conservative, very direct port'.</x:v>
      </x:c>
      <x:c r="AG365" s="9" t="str">
        <x:v>NA and PAL releases</x:v>
      </x:c>
      <x:c r="AH365" s="9" t="str">
        <x:v>Yes (PC on GOG)</x:v>
      </x:c>
      <x:c r="AI365" s="9" t="str">
        <x:v>Easy</x:v>
      </x:c>
      <x:c r="AJ365" s="9"/>
      <x:c r="AK365" s="9" t="str">
        <x:v>Saturn port released 1997 alongside the PS version; it adds the forward roll from No Regret. Critics found the console controls over-complicated and animation jerky. Port studio credit unconfirmed.</x:v>
      </x:c>
      <x:c r="AL365" s="10" t="n">
        <x:v>15.99</x:v>
      </x:c>
      <x:c r="AM365" s="10" t="n">
        <x:v>50.96</x:v>
      </x:c>
      <x:c r="AN365" s="10" t="n">
        <x:v>89</x:v>
      </x:c>
      <x:c r="AO365" s="9" t="str">
        <x:v>2026-10-21</x:v>
      </x:c>
      <x:c r="AP365" s="11" t="str">
        <x:f>HYPERLINK("https://www.pricecharting.com/game/sega-saturn/crusader-no-remorse","PriceCharting")</x:f>
        <x:v>PriceCharting</x:v>
      </x:c>
      <x:c r="AQ365" s="9"/>
      <x:c r="AR365" s="9"/>
      <x:c r="AS365" s="9"/>
      <x:c r="AT365" s="9"/>
      <x:c r="AU365" s="9"/>
      <x:c r="AV365" s="9"/>
      <x:c r="AW365" s="9"/>
      <x:c r="AX365" s="9"/>
      <x:c r="AY365" s="9"/>
      <x:c r="AZ365" s="9"/>
      <x:c r="BA365" s="11" t="str">
        <x:f>HYPERLINK("https://www.mobygames.com/search/?q=Crusader%3A+No+Remorse","MobyGames")</x:f>
        <x:v>MobyGames</x:v>
      </x:c>
      <x:c r="BB365" s="9" t="str">
        <x:v>70%</x:v>
      </x:c>
      <x:c r="BC365" s="9" t="str">
        <x:v>GameRankings, 5 reviews</x:v>
      </x:c>
      <x:c r="BD365" s="9" t="str">
        <x:f>HYPERLINK("https://web.archive.org/web/20191209015454id_/https://www.gamerankings.com/saturn/197008-crusader-no-remorse/index.html","Source")</x:f>
        <x:v>Source</x:v>
      </x:c>
      <x:c r="BE365" s="11" t="str">
        <x:f>HYPERLINK("https://en.wikipedia.org/wiki/Crusader:_No_Remorse","Wikipedia")</x:f>
        <x:v>Wikipedia</x:v>
      </x:c>
      <x:c r="BF365" s="11" t="str">
        <x:f>HYPERLINK("https://backloggd.com/search/games/Crusader%3A%20No%20Remorse/","Backloggd")</x:f>
        <x:v>Backloggd</x:v>
      </x:c>
      <x:c r="BG365" s="11" t="str">
        <x:f>HYPERLINK("https://segaretro.org/Crusader:_No_Remorse","Sega Retro")</x:f>
        <x:v>Sega Retro</x:v>
      </x:c>
      <x:c r="BH365" s="9"/>
      <x:c r="BI365" s="12" t="str">
        <x:v>No</x:v>
      </x:c>
      <x:c r="BJ365" s="12" t="str"/>
      <x:c r="BK365" s="12" t="str">
        <x:v>No</x:v>
      </x:c>
      <x:c r="BL365" s="12" t="str"/>
      <x:c r="BM365" s="12" t="str"/>
      <x:c r="BN365" s="12" t="str"/>
      <x:c r="BO365" s="12" t="str"/>
      <x:c r="BP365" s="12" t="str"/>
      <x:c r="BQ365" s="12" t="str"/>
    </x:row>
    <x:row r="366">
      <x:c r="A366" s="9" t="str">
        <x:v>saturn-45</x:v>
      </x:c>
      <x:c r="B366" s="9" t="str">
        <x:v>shinobi-legions</x:v>
      </x:c>
      <x:c r="C366" s="9" t="str">
        <x:v>Sega Saturn</x:v>
      </x:c>
      <x:c r="D366" s="9" t="str">
        <x:v>Shinobi Legions</x:v>
      </x:c>
      <x:c r="E366" s="9" t="str">
        <x:v>Shinobi X (EU); Shin Shinobi Den (真・忍伝) (JP, verify)</x:v>
      </x:c>
      <x:c r="F366" s="9" t="str">
        <x:v>Sega</x:v>
      </x:c>
      <x:c r="G366" s="9" t="str">
        <x:v>Vic Tokai (NA), Sega (JP/EU)</x:v>
      </x:c>
      <x:c r="H366" s="9" t="n">
        <x:v>1995</x:v>
      </x:c>
      <x:c r="I366" s="9" t="str">
        <x:v>Yes</x:v>
      </x:c>
      <x:c r="J366" s="9" t="str">
        <x:v>Yes</x:v>
      </x:c>
      <x:c r="K366" s="9" t="str">
        <x:v>Yes</x:v>
      </x:c>
      <x:c r="L366" s="9" t="str">
        <x:v>No</x:v>
      </x:c>
      <x:c r="M366" s="9" t="str">
        <x:v>Side-scrolling action</x:v>
      </x:c>
      <x:c r="N366" s="9" t="str">
        <x:v>Live-action</x:v>
      </x:c>
      <x:c r="O366" s="9" t="n">
        <x:v>3</x:v>
      </x:c>
      <x:c r="P366" s="9" t="str">
        <x:v>Cutscenes only</x:v>
      </x:c>
      <x:c r="Q366" s="9" t="str">
        <x:v>Released</x:v>
      </x:c>
      <x:c r="R366" s="9" t="str">
        <x:v>Original production (Shinobi series)</x:v>
      </x:c>
      <x:c r="S366" s="9" t="str">
        <x:v>—</x:v>
      </x:c>
      <x:c r="T366" s="9" t="str">
        <x:v>Live-action actors as Sho, Kazuma and Aya — names verify</x:v>
      </x:c>
      <x:c r="U366" s="9" t="n">
        <x:v>1</x:v>
      </x:c>
      <x:c r="V366" s="9" t="str">
        <x:v>No</x:v>
      </x:c>
      <x:c r="W366" s="9" t="str">
        <x:v>Standard pad</x:v>
      </x:c>
      <x:c r="X366" s="9" t="str">
        <x:v>Low</x:v>
      </x:c>
      <x:c r="Y366" s="9" t="str"/>
      <x:c r="Z366" s="9" t="str">
        <x:v>1–2 hr</x:v>
      </x:c>
      <x:c r="AA366" s="9" t="str">
        <x:v>Shinobi gone full live-action ninja movie: costumed actors, digitised sprites and cheesy martial-arts cutscenes between stages.</x:v>
      </x:c>
      <x:c r="AB366" s="9" t="str">
        <x:v>None known (verify)</x:v>
      </x:c>
      <x:c r="AC366" s="9" t="str">
        <x:v>Grainy live-action cutscenes in a windowed frame between stages — verify size and frame rate</x:v>
      </x:c>
      <x:c r="AD366" s="9" t="str">
        <x:v>Moderate to hard; late stages are tough</x:v>
      </x:c>
      <x:c r="AE366" s="9" t="str">
        <x:v>One ending</x:v>
      </x:c>
      <x:c r="AF366" s="9" t="str">
        <x:v>The only names in the in-game credits are the live-action FMV crew, so the game's developers are unknown. Sega Europe had Richard Jacques replace the in-game music for Shinobi X; the cutscene music was kept.</x:v>
      </x:c>
      <x:c r="AG366" s="9" t="str">
        <x:v>Shinobi X (EU, new music), Shinobi Legions (NA, Vic Tokai); JP release</x:v>
      </x:c>
      <x:c r="AH366" s="9" t="str">
        <x:v>No</x:v>
      </x:c>
      <x:c r="AI366" s="9" t="str">
        <x:v>Easy</x:v>
      </x:c>
      <x:c r="AJ366" s="9"/>
      <x:c r="AK366" s="9" t="str">
        <x:v>Europe got Shinobi X with a new Richard Jacques score; NA (Vic Tokai) kept the Japanese score. Critics split on the FMV cutscenes. Japanese title from memory (verify).</x:v>
      </x:c>
      <x:c r="AL366" s="10" t="n">
        <x:v>57.1</x:v>
      </x:c>
      <x:c r="AM366" s="10" t="n">
        <x:v>162.5</x:v>
      </x:c>
      <x:c r="AN366" s="10" t="n">
        <x:v>276</x:v>
      </x:c>
      <x:c r="AO366" s="9" t="str">
        <x:v>2026-10-21</x:v>
      </x:c>
      <x:c r="AP366" s="11" t="str">
        <x:f>HYPERLINK("https://www.pricecharting.com/game/sega-saturn/shinobi-legions","PriceCharting")</x:f>
        <x:v>PriceCharting</x:v>
      </x:c>
      <x:c r="AQ366" s="9"/>
      <x:c r="AR366" s="9"/>
      <x:c r="AS366" s="9"/>
      <x:c r="AT366" s="9"/>
      <x:c r="AU366" s="9"/>
      <x:c r="AV366" s="9"/>
      <x:c r="AW366" s="9"/>
      <x:c r="AX366" s="9"/>
      <x:c r="AY366" s="9"/>
      <x:c r="AZ366" s="9"/>
      <x:c r="BA366" s="11" t="str">
        <x:f>HYPERLINK("https://www.mobygames.com/search/?q=Shinobi+Legions","MobyGames")</x:f>
        <x:v>MobyGames</x:v>
      </x:c>
      <x:c r="BB366" s="9" t="str">
        <x:v>65%</x:v>
      </x:c>
      <x:c r="BC366" s="9" t="str">
        <x:v>average of 6 reviews on Wikipedia (EGM, EPD, Fam, Maximum, NGen, Sega Saturn Magazine)</x:v>
      </x:c>
      <x:c r="BD366" s="9" t="str">
        <x:f>HYPERLINK("https://en.wikipedia.org/wiki/Shinobi_Legions","Source")</x:f>
        <x:v>Source</x:v>
      </x:c>
      <x:c r="BE366" s="11" t="str">
        <x:f>HYPERLINK("https://en.wikipedia.org/wiki/Shinobi_Legions","Wikipedia")</x:f>
        <x:v>Wikipedia</x:v>
      </x:c>
      <x:c r="BF366" s="11" t="str">
        <x:f>HYPERLINK("https://backloggd.com/search/games/Shinobi%20Legions/","Backloggd")</x:f>
        <x:v>Backloggd</x:v>
      </x:c>
      <x:c r="BG366" s="11" t="str">
        <x:f>HYPERLINK("https://segaretro.org/Shinobi_X","Sega Retro")</x:f>
        <x:v>Sega Retro</x:v>
      </x:c>
      <x:c r="BH366" s="9"/>
      <x:c r="BI366" s="12" t="str">
        <x:v>No</x:v>
      </x:c>
      <x:c r="BJ366" s="12" t="str"/>
      <x:c r="BK366" s="12" t="str">
        <x:v>No</x:v>
      </x:c>
      <x:c r="BL366" s="12" t="str"/>
      <x:c r="BM366" s="12" t="str"/>
      <x:c r="BN366" s="12" t="str"/>
      <x:c r="BO366" s="12" t="str"/>
      <x:c r="BP366" s="12" t="str"/>
      <x:c r="BQ366" s="12" t="str"/>
    </x:row>
    <x:row r="367">
      <x:c r="A367" s="9" t="str">
        <x:v>saturn-46</x:v>
      </x:c>
      <x:c r="B367" s="9" t="str">
        <x:v>solar-eclipse</x:v>
      </x:c>
      <x:c r="C367" s="9" t="str">
        <x:v>Sega Saturn</x:v>
      </x:c>
      <x:c r="D367" s="9" t="str">
        <x:v>Solar Eclipse</x:v>
      </x:c>
      <x:c r="E367" s="9" t="str">
        <x:v>Titan Wars (JP/EU)</x:v>
      </x:c>
      <x:c r="F367" s="9" t="str">
        <x:v>Crystal Dynamics</x:v>
      </x:c>
      <x:c r="G367" s="9" t="str">
        <x:v>Crystal Dynamics (NA); BMG Victor (JP); Tec Toy (Brazil)</x:v>
      </x:c>
      <x:c r="H367" s="9" t="n">
        <x:v>1995</x:v>
      </x:c>
      <x:c r="I367" s="9" t="str">
        <x:v>Yes</x:v>
      </x:c>
      <x:c r="J367" s="9" t="str">
        <x:v>Yes</x:v>
      </x:c>
      <x:c r="K367" s="9" t="str">
        <x:v>Yes</x:v>
      </x:c>
      <x:c r="L367" s="9" t="str">
        <x:v>No</x:v>
      </x:c>
      <x:c r="M367" s="9" t="str">
        <x:v>Space combat / rail shooter hybrid</x:v>
      </x:c>
      <x:c r="N367" s="9" t="str">
        <x:v>Live-action</x:v>
      </x:c>
      <x:c r="O367" s="9" t="n">
        <x:v>3</x:v>
      </x:c>
      <x:c r="P367" s="9" t="str">
        <x:v>Cutscenes only</x:v>
      </x:c>
      <x:c r="Q367" s="9" t="str">
        <x:v>Released</x:v>
      </x:c>
      <x:c r="R367" s="9" t="str">
        <x:v>Original production (sequel to Total Eclipse, 3DO)</x:v>
      </x:c>
      <x:c r="S367" s="9" t="str">
        <x:v>PlayStation</x:v>
      </x:c>
      <x:c r="T367" s="9" t="str">
        <x:v>Claudia Christian</x:v>
      </x:c>
      <x:c r="U367" s="9" t="n">
        <x:v>1</x:v>
      </x:c>
      <x:c r="V367" s="9" t="str">
        <x:v>Yes (verify)</x:v>
      </x:c>
      <x:c r="W367" s="9" t="str">
        <x:v>Standard pad</x:v>
      </x:c>
      <x:c r="X367" s="9" t="str">
        <x:v>Low</x:v>
      </x:c>
      <x:c r="Y367" s="9" t="str"/>
      <x:c r="Z367" s="9" t="str">
        <x:v>3–5 hr</x:v>
      </x:c>
      <x:c r="AA367" s="9" t="str">
        <x:v>Babylon 5's Claudia Christian barks orders in live-action briefings between Crystal Dynamics' fast space-shooter missions.</x:v>
      </x:c>
      <x:c r="AB367" s="9" t="str">
        <x:v>None known (verify)</x:v>
      </x:c>
      <x:c r="AC367" s="9" t="str">
        <x:v>Live-action briefing video in a window; quality and frame rate — verify</x:v>
      </x:c>
      <x:c r="AD367" s="9" t="str">
        <x:v>Moderate</x:v>
      </x:c>
      <x:c r="AE367" s="9" t="str">
        <x:v>One ending</x:v>
      </x:c>
      <x:c r="AF367" s="9" t="str">
        <x:v>Developed in 16 months under the title Titan; US marketing renamed it as a sequel to Total Eclipse, but Japan and Europe kept Titan Wars.</x:v>
      </x:c>
      <x:c r="AG367" s="9" t="str">
        <x:v>Solar Eclipse (NA); Titan Wars (JP and EU)</x:v>
      </x:c>
      <x:c r="AH367" s="9" t="str">
        <x:v>No</x:v>
      </x:c>
      <x:c r="AI367" s="9" t="str">
        <x:v>Easy</x:v>
      </x:c>
      <x:c r="AJ367" s="9"/>
      <x:c r="AK367" s="9" t="str">
        <x:v>Wikipedia: released first on Saturn in NA, Europe and Japan. EGM's four reviewers averaged 7.75/10. Christian's role name not confirmed.</x:v>
      </x:c>
      <x:c r="AL367" s="10" t="n">
        <x:v>14.39</x:v>
      </x:c>
      <x:c r="AM367" s="10" t="n">
        <x:v>26.75</x:v>
      </x:c>
      <x:c r="AN367" s="10" t="n">
        <x:v>57.31</x:v>
      </x:c>
      <x:c r="AO367" s="9" t="str">
        <x:v>2026-10-21</x:v>
      </x:c>
      <x:c r="AP367" s="11" t="str">
        <x:f>HYPERLINK("https://www.pricecharting.com/game/sega-saturn/solar-eclipse","PriceCharting")</x:f>
        <x:v>PriceCharting</x:v>
      </x:c>
      <x:c r="AQ367" s="9"/>
      <x:c r="AR367" s="9"/>
      <x:c r="AS367" s="9"/>
      <x:c r="AT367" s="9"/>
      <x:c r="AU367" s="9"/>
      <x:c r="AV367" s="9"/>
      <x:c r="AW367" s="9"/>
      <x:c r="AX367" s="9"/>
      <x:c r="AY367" s="9" t="str">
        <x:v>69%</x:v>
      </x:c>
      <x:c r="AZ367" s="9"/>
      <x:c r="BA367" s="11" t="str">
        <x:f>HYPERLINK("https://www.mobygames.com/game/8415/solar-eclipse/","MobyGames")</x:f>
        <x:v>MobyGames</x:v>
      </x:c>
      <x:c r="BB367" s="9" t="str">
        <x:v>79%</x:v>
      </x:c>
      <x:c r="BC367" s="9" t="str">
        <x:v>GameRankings, 2 reviews</x:v>
      </x:c>
      <x:c r="BD367" s="9" t="str">
        <x:f>HYPERLINK("https://web.archive.org/web/20191209012436id_/https://www.gamerankings.com/saturn/574726-solar-eclipse/","Source")</x:f>
        <x:v>Source</x:v>
      </x:c>
      <x:c r="BE367" s="11" t="str">
        <x:f>HYPERLINK("https://en.wikipedia.org/wiki/Solar_Eclipse_(video_game)","Wikipedia")</x:f>
        <x:v>Wikipedia</x:v>
      </x:c>
      <x:c r="BF367" s="11" t="str">
        <x:f>HYPERLINK("https://backloggd.com/search/games/Solar%20Eclipse/","Backloggd")</x:f>
        <x:v>Backloggd</x:v>
      </x:c>
      <x:c r="BG367" s="11" t="str">
        <x:f>HYPERLINK("https://segaretro.org/Titan_Wars","Sega Retro")</x:f>
        <x:v>Sega Retro</x:v>
      </x:c>
      <x:c r="BH367" s="9"/>
      <x:c r="BI367" s="12" t="str">
        <x:v>No</x:v>
      </x:c>
      <x:c r="BJ367" s="12" t="str"/>
      <x:c r="BK367" s="12" t="str">
        <x:v>No</x:v>
      </x:c>
      <x:c r="BL367" s="12" t="str"/>
      <x:c r="BM367" s="12" t="str"/>
      <x:c r="BN367" s="12" t="str"/>
      <x:c r="BO367" s="12" t="str"/>
      <x:c r="BP367" s="12" t="str"/>
      <x:c r="BQ367" s="12" t="str"/>
    </x:row>
    <x:row r="368">
      <x:c r="A368" s="9" t="str">
        <x:v>saturn-47</x:v>
      </x:c>
      <x:c r="B368" s="9" t="str">
        <x:v>off-world-interceptor</x:v>
      </x:c>
      <x:c r="C368" s="9" t="str">
        <x:v>Sega Saturn</x:v>
      </x:c>
      <x:c r="D368" s="9" t="str">
        <x:v>Off-World Interceptor Extreme</x:v>
      </x:c>
      <x:c r="E368" s="9" t="str"/>
      <x:c r="F368" s="9" t="str">
        <x:v>Crystal Dynamics</x:v>
      </x:c>
      <x:c r="G368" s="9" t="str">
        <x:v>Crystal Dynamics (NA); BMG Interactive (EU) — verify</x:v>
      </x:c>
      <x:c r="H368" s="9" t="n">
        <x:v>1995</x:v>
      </x:c>
      <x:c r="I368" s="9" t="str">
        <x:v>Yes</x:v>
      </x:c>
      <x:c r="J368" s="9" t="str">
        <x:v>No</x:v>
      </x:c>
      <x:c r="K368" s="9" t="str">
        <x:v>Yes</x:v>
      </x:c>
      <x:c r="L368" s="9" t="str">
        <x:v>No</x:v>
      </x:c>
      <x:c r="M368" s="9" t="str">
        <x:v>Vehicular combat racing</x:v>
      </x:c>
      <x:c r="N368" s="9" t="str">
        <x:v>Live-action</x:v>
      </x:c>
      <x:c r="O368" s="9" t="n">
        <x:v>2</x:v>
      </x:c>
      <x:c r="P368" s="9" t="str">
        <x:v>Cutscenes only</x:v>
      </x:c>
      <x:c r="Q368" s="9" t="str">
        <x:v>Released</x:v>
      </x:c>
      <x:c r="R368" s="9" t="str">
        <x:v>Enhanced port of Off-World Interceptor (3DO, 1994)</x:v>
      </x:c>
      <x:c r="S368" s="9" t="str">
        <x:v>3DO (as Off-World Interceptor), PlayStation</x:v>
      </x:c>
      <x:c r="T368" s="9" t="str">
        <x:v>Live-action commentators (names not confirmed)</x:v>
      </x:c>
      <x:c r="U368" s="9" t="n">
        <x:v>1</x:v>
      </x:c>
      <x:c r="V368" s="9" t="str">
        <x:v>Yes (verify)</x:v>
      </x:c>
      <x:c r="W368" s="9" t="str">
        <x:v>Standard pad; two-player split screen</x:v>
      </x:c>
      <x:c r="X368" s="9" t="str">
        <x:v>Low</x:v>
      </x:c>
      <x:c r="Y368" s="9" t="str"/>
      <x:c r="Z368" s="9" t="str">
        <x:v>2–4 hr</x:v>
      </x:c>
      <x:c r="AA368" s="9" t="str">
        <x:v>Monster-truck combat on alien planets with goofy live-action interludes in Crystal Dynamics' mid-90s house style.</x:v>
      </x:c>
      <x:c r="AB368" s="9" t="str">
        <x:v>None known (verify)</x:v>
      </x:c>
      <x:c r="AC368" s="9" t="str">
        <x:v>Cutscenes with Mystery Science Theater 3000-style live-action commentators — window size verify</x:v>
      </x:c>
      <x:c r="AD368" s="9" t="str">
        <x:v>Moderate; bouncy physics</x:v>
      </x:c>
      <x:c r="AE368" s="9" t="str">
        <x:v>One ending</x:v>
      </x:c>
      <x:c r="AF368" s="9" t="str">
        <x:v>The Extreme version is tuned to feel like the 3DO original's arcade mode and adds a Training mode.</x:v>
      </x:c>
      <x:c r="AG368" s="9" t="str">
        <x:v>NA and PAL releases (verify PAL)</x:v>
      </x:c>
      <x:c r="AH368" s="9" t="str">
        <x:v>No</x:v>
      </x:c>
      <x:c r="AI368" s="9" t="str">
        <x:v>Easy</x:v>
      </x:c>
      <x:c r="AJ368" s="9"/>
      <x:c r="AK368" s="9" t="str">
        <x:v>GamePro's Saturn review praised the commentators in the cutscenes; Sega Saturn Magazine found the gameplay poor. EU publisher unconfirmed.</x:v>
      </x:c>
      <x:c r="AL368" s="10" t="n">
        <x:v>11.92</x:v>
      </x:c>
      <x:c r="AM368" s="10" t="n">
        <x:v>20.24</x:v>
      </x:c>
      <x:c r="AN368" s="10" t="n">
        <x:v>34</x:v>
      </x:c>
      <x:c r="AO368" s="9" t="str">
        <x:v>2026-10-21</x:v>
      </x:c>
      <x:c r="AP368" s="11" t="str">
        <x:f>HYPERLINK("https://www.pricecharting.com/game/sega-saturn/off-world-interceptor-extreme","PriceCharting")</x:f>
        <x:v>PriceCharting</x:v>
      </x:c>
      <x:c r="AQ368" s="9"/>
      <x:c r="AR368" s="9"/>
      <x:c r="AS368" s="9"/>
      <x:c r="AT368" s="9"/>
      <x:c r="AU368" s="9"/>
      <x:c r="AV368" s="9"/>
      <x:c r="AW368" s="9"/>
      <x:c r="AX368" s="9"/>
      <x:c r="AY368" s="9"/>
      <x:c r="AZ368" s="9"/>
      <x:c r="BA368" s="11" t="str">
        <x:f>HYPERLINK("https://www.mobygames.com/search/?q=Off-World+Interceptor+Extreme","MobyGames")</x:f>
        <x:v>MobyGames</x:v>
      </x:c>
      <x:c r="BB368" s="9" t="str">
        <x:v>75%</x:v>
      </x:c>
      <x:c r="BC368" s="9" t="str">
        <x:v>GameRankings, 2 reviews</x:v>
      </x:c>
      <x:c r="BD368" s="9" t="str">
        <x:f>HYPERLINK("https://web.archive.org/web/20191209011347id_/https://www.gamerankings.com/saturn/573988-off-world-interceptor-extreme/","Source")</x:f>
        <x:v>Source</x:v>
      </x:c>
      <x:c r="BE368" s="11" t="str">
        <x:f>HYPERLINK("https://en.wikipedia.org/wiki/Off-World_Interceptor","Wikipedia")</x:f>
        <x:v>Wikipedia</x:v>
      </x:c>
      <x:c r="BF368" s="11" t="str">
        <x:f>HYPERLINK("https://backloggd.com/search/games/Off-World%20Interceptor%20Extreme/","Backloggd")</x:f>
        <x:v>Backloggd</x:v>
      </x:c>
      <x:c r="BG368" s="11" t="str">
        <x:f>HYPERLINK("https://segaretro.org/Off-World_Interceptor_Extreme","Sega Retro")</x:f>
        <x:v>Sega Retro</x:v>
      </x:c>
      <x:c r="BH368" s="9"/>
      <x:c r="BI368" s="12" t="str">
        <x:v>No</x:v>
      </x:c>
      <x:c r="BJ368" s="12" t="str"/>
      <x:c r="BK368" s="12" t="str">
        <x:v>No</x:v>
      </x:c>
      <x:c r="BL368" s="12" t="str"/>
      <x:c r="BM368" s="12" t="str"/>
      <x:c r="BN368" s="12" t="str"/>
      <x:c r="BO368" s="12" t="str"/>
      <x:c r="BP368" s="12" t="str"/>
      <x:c r="BQ368" s="12" t="str"/>
    </x:row>
    <x:row r="369">
      <x:c r="A369" s="9" t="str">
        <x:v>saturn-48</x:v>
      </x:c>
      <x:c r="B369" s="9" t="str">
        <x:v>street-fighter-the-movie</x:v>
      </x:c>
      <x:c r="C369" s="9" t="str">
        <x:v>Sega Saturn</x:v>
      </x:c>
      <x:c r="D369" s="9" t="str">
        <x:v>Street Fighter: The Movie</x:v>
      </x:c>
      <x:c r="E369" s="9" t="str">
        <x:v>Street Fighter: Real Battle on Film (JP, ストリートファイター リアルバトル オン フィルム)</x:v>
      </x:c>
      <x:c r="F369" s="9" t="str">
        <x:v>Capcom</x:v>
      </x:c>
      <x:c r="G369" s="9" t="str">
        <x:v>Capcom (JP), Acclaim (NA/EU)</x:v>
      </x:c>
      <x:c r="H369" s="9" t="n">
        <x:v>1995</x:v>
      </x:c>
      <x:c r="I369" s="9" t="str">
        <x:v>Yes</x:v>
      </x:c>
      <x:c r="J369" s="9" t="str">
        <x:v>Yes</x:v>
      </x:c>
      <x:c r="K369" s="9" t="str">
        <x:v>Yes</x:v>
      </x:c>
      <x:c r="L369" s="9" t="str">
        <x:v>No</x:v>
      </x:c>
      <x:c r="M369" s="9" t="str">
        <x:v>Fighting</x:v>
      </x:c>
      <x:c r="N369" s="9" t="str">
        <x:v>Live-action</x:v>
      </x:c>
      <x:c r="O369" s="9" t="n">
        <x:v>3</x:v>
      </x:c>
      <x:c r="P369" s="9" t="str">
        <x:v>Cutscenes only</x:v>
      </x:c>
      <x:c r="Q369" s="9" t="str">
        <x:v>Released</x:v>
      </x:c>
      <x:c r="R369" s="9" t="str">
        <x:v>Film license (Street Fighter, Universal/Capcom, 1994)</x:v>
      </x:c>
      <x:c r="S369" s="9" t="str">
        <x:v>PlayStation; separate arcade game by Incredible Technologies</x:v>
      </x:c>
      <x:c r="T369" s="9" t="str">
        <x:v>Jean-Claude Van Damme, Ming-Na Wen, Byron Mann, Kylie Minogue, Damian Chapa, Miguel A. Núñez Jr.; Darko Tuscan as Bison</x:v>
      </x:c>
      <x:c r="U369" s="9" t="n">
        <x:v>1</x:v>
      </x:c>
      <x:c r="V369" s="9" t="str">
        <x:v>No</x:v>
      </x:c>
      <x:c r="W369" s="9" t="str">
        <x:v>Standard pad</x:v>
      </x:c>
      <x:c r="X369" s="9" t="str">
        <x:v>Med–High</x:v>
      </x:c>
      <x:c r="Y369" s="9" t="str">
        <x:v>Film-based FMV and the Chage &amp; Aska 'Something There' music video after Movie Battle; digitised likenesses of the film's cast</x:v>
      </x:c>
      <x:c r="Z369" s="9" t="str">
        <x:v>1–2 hr</x:v>
      </x:c>
      <x:c r="AA369" s="9" t="str">
        <x:v>Digitised Van Damme, Kylie and the rest of the film's cast in a Super Turbo-engine fighter, with FMV between Movie Battle bouts.</x:v>
      </x:c>
      <x:c r="AB369" s="9" t="str">
        <x:v>None known (verify)</x:v>
      </x:c>
      <x:c r="AC369" s="9" t="str">
        <x:v>FMV cinemas in Movie Battle mode and a closing music video of Chage &amp; Aska's 'Something There' — window size verify</x:v>
      </x:c>
      <x:c r="AD369" s="9" t="str">
        <x:v>Easy to moderate</x:v>
      </x:c>
      <x:c r="AE369" s="9" t="str">
        <x:v>Movie Battle ends with a music video; Street Battle has per-character endings (verify)</x:v>
      </x:c>
      <x:c r="AF369" s="9" t="str">
        <x:v>Raúl Juliá was too ill to take part and died in October 1994; his film stunt double Darko Tuscan played Bison instead. The home game is not a port of the arcade release.</x:v>
      </x:c>
      <x:c r="AG369" s="9" t="str">
        <x:v>Japanese release retitled Real Battle on Film</x:v>
      </x:c>
      <x:c r="AH369" s="9" t="str">
        <x:v>No</x:v>
      </x:c>
      <x:c r="AI369" s="9" t="str">
        <x:v>Easy</x:v>
      </x:c>
      <x:c r="AJ369" s="9"/>
      <x:c r="AK369" s="9" t="str">
        <x:v>JP Saturn release 11 August 1995 (a day before PS). EGM praised the FMV cinemas; Sega Saturn Magazine and GamePro panned the Saturn version for slowdown.</x:v>
      </x:c>
      <x:c r="AL369" s="10" t="n">
        <x:v>19</x:v>
      </x:c>
      <x:c r="AM369" s="10" t="n">
        <x:v>44.4</x:v>
      </x:c>
      <x:c r="AN369" s="10" t="n">
        <x:v>239.49</x:v>
      </x:c>
      <x:c r="AO369" s="9" t="str">
        <x:v>2026-10-21</x:v>
      </x:c>
      <x:c r="AP369" s="11" t="str">
        <x:f>HYPERLINK("https://www.pricecharting.com/game/sega-saturn/street-fighter-the-movie","PriceCharting")</x:f>
        <x:v>PriceCharting</x:v>
      </x:c>
      <x:c r="AQ369" s="9"/>
      <x:c r="AR369" s="9"/>
      <x:c r="AS369" s="9"/>
      <x:c r="AT369" s="9"/>
      <x:c r="AU369" s="9"/>
      <x:c r="AV369" s="9"/>
      <x:c r="AW369" s="9"/>
      <x:c r="AX369" s="9"/>
      <x:c r="AY369" s="9" t="str">
        <x:v>50%</x:v>
      </x:c>
      <x:c r="AZ369" s="9" t="str">
        <x:v>2.5</x:v>
      </x:c>
      <x:c r="BA369" s="11" t="str">
        <x:f>HYPERLINK("https://www.mobygames.com/search/?q=Street+Fighter%3A+The+Movie","MobyGames")</x:f>
        <x:v>MobyGames</x:v>
      </x:c>
      <x:c r="BB369" s="9" t="str">
        <x:v>54%</x:v>
      </x:c>
      <x:c r="BC369" s="9" t="str">
        <x:v>average of 8 reviews on Wikipedia (Allgame, EGM, Electric Playground, GameFan, Hyper, Maximum, NGen, Sega Saturn Magazine)</x:v>
      </x:c>
      <x:c r="BD369" s="9" t="str">
        <x:f>HYPERLINK("https://en.wikipedia.org/wiki/Street_Fighter%3A_The_Movie_%28console_video_game%29","Source")</x:f>
        <x:v>Source</x:v>
      </x:c>
      <x:c r="BE369" s="11" t="str">
        <x:f>HYPERLINK("https://en.wikipedia.org/wiki/Street_Fighter:_The_Movie_(home_video_game)","Wikipedia")</x:f>
        <x:v>Wikipedia</x:v>
      </x:c>
      <x:c r="BF369" s="11" t="str">
        <x:f>HYPERLINK("https://backloggd.com/search/games/Street%20Fighter%3A%20The%20Movie/","Backloggd")</x:f>
        <x:v>Backloggd</x:v>
      </x:c>
      <x:c r="BG369" s="11" t="str">
        <x:f>HYPERLINK("https://segaretro.org/Street_Fighter:_The_Movie","Sega Retro")</x:f>
        <x:v>Sega Retro</x:v>
      </x:c>
      <x:c r="BH369" s="9"/>
      <x:c r="BI369" s="12" t="str">
        <x:v>No</x:v>
      </x:c>
      <x:c r="BJ369" s="12" t="str"/>
      <x:c r="BK369" s="12" t="str">
        <x:v>No</x:v>
      </x:c>
      <x:c r="BL369" s="12" t="str"/>
      <x:c r="BM369" s="12" t="str"/>
      <x:c r="BN369" s="12" t="str"/>
      <x:c r="BO369" s="12" t="str"/>
      <x:c r="BP369" s="12" t="str"/>
      <x:c r="BQ369" s="12" t="str"/>
    </x:row>
    <x:row r="370">
      <x:c r="A370" s="9" t="str">
        <x:v>saturn-49</x:v>
      </x:c>
      <x:c r="B370" s="9" t="str">
        <x:v>road-rash</x:v>
      </x:c>
      <x:c r="C370" s="9" t="str">
        <x:v>Sega Saturn</x:v>
      </x:c>
      <x:c r="D370" s="9" t="str">
        <x:v>Road Rash</x:v>
      </x:c>
      <x:c r="E370" s="9" t="str"/>
      <x:c r="F370" s="9" t="str">
        <x:v>Electronic Arts (Saturn version by Buzz Puppet Productions)</x:v>
      </x:c>
      <x:c r="G370" s="9" t="str">
        <x:v>Electronic Arts (NA/EU)</x:v>
      </x:c>
      <x:c r="H370" s="9" t="n">
        <x:v>1996</x:v>
      </x:c>
      <x:c r="I370" s="9" t="str">
        <x:v>Yes</x:v>
      </x:c>
      <x:c r="J370" s="9" t="str">
        <x:v>No</x:v>
      </x:c>
      <x:c r="K370" s="9" t="str">
        <x:v>Yes</x:v>
      </x:c>
      <x:c r="L370" s="9" t="str">
        <x:v>No</x:v>
      </x:c>
      <x:c r="M370" s="9" t="str">
        <x:v>Motorcycle combat racing</x:v>
      </x:c>
      <x:c r="N370" s="9" t="str">
        <x:v>Live-action</x:v>
      </x:c>
      <x:c r="O370" s="9" t="n">
        <x:v>3</x:v>
      </x:c>
      <x:c r="P370" s="9" t="str">
        <x:v>Cutscenes only</x:v>
      </x:c>
      <x:c r="Q370" s="9" t="str">
        <x:v>Released</x:v>
      </x:c>
      <x:c r="R370" s="9" t="str">
        <x:v>Port of Road Rash (3DO, 1994)</x:v>
      </x:c>
      <x:c r="S370" s="9" t="str">
        <x:v>3DO, PlayStation, Windows</x:v>
      </x:c>
      <x:c r="T370" s="9" t="str">
        <x:v>Soundgarden, Monster Magnet, Paw, Therapy?, Swervedriver, Hammerbox (music videos) — verify Saturn lineup</x:v>
      </x:c>
      <x:c r="U370" s="9" t="n">
        <x:v>1</x:v>
      </x:c>
      <x:c r="V370" s="9" t="str">
        <x:v>Yes (verify; password system on 3DO)</x:v>
      </x:c>
      <x:c r="W370" s="9" t="str">
        <x:v>Standard pad</x:v>
      </x:c>
      <x:c r="X370" s="9" t="str">
        <x:v>HIGH</x:v>
      </x:c>
      <x:c r="Y370" s="9" t="str">
        <x:v>Licensed A&amp;M Records soundtrack (Soundgarden 'Outshined'/'Rusty Cage' etc.) and full music videos on the disc</x:v>
      </x:c>
      <x:c r="Z370" s="9" t="str">
        <x:v>3–6 hr</x:v>
      </x:c>
      <x:c r="AA370" s="9" t="str">
        <x:v>Clubbing bikers to grunge: the 3DO classic's Soundgarden soundtrack and live-action race-end clips on Saturn.</x:v>
      </x:c>
      <x:c r="AB370" s="9" t="str">
        <x:v>None known (verify)</x:v>
      </x:c>
      <x:c r="AC370" s="9" t="str">
        <x:v>About 25 minutes of live-action FMV from the 3DO original (race-end clips and music videos); windowed, compressed — verify size</x:v>
      </x:c>
      <x:c r="AD370" s="9" t="str">
        <x:v>Moderate; later levels get brutal</x:v>
      </x:c>
      <x:c r="AE370" s="9" t="str">
        <x:v>Live-action clips vary with result; one final ending</x:v>
      </x:c>
      <x:c r="AF370" s="9" t="str">
        <x:v>The 3DO original's live-action vignettes and A&amp;M soundtrack carried over to the 32-bit ports.</x:v>
      </x:c>
      <x:c r="AG370" s="9" t="str">
        <x:v>NA and PAL releases</x:v>
      </x:c>
      <x:c r="AH370" s="9" t="str">
        <x:v>No</x:v>
      </x:c>
      <x:c r="AI370" s="9" t="str">
        <x:v>Easy</x:v>
      </x:c>
      <x:c r="AJ370" s="9"/>
      <x:c r="AK370" s="9" t="str">
        <x:v>Saturn port 1996; reviewers found it no better than the 3DO/PS versions, and Mean Machines Sega called the FMV 'extremely annoying'. Mute or skip the music when recording.</x:v>
      </x:c>
      <x:c r="AL370" s="10" t="n">
        <x:v>25</x:v>
      </x:c>
      <x:c r="AM370" s="10" t="n">
        <x:v>48.24</x:v>
      </x:c>
      <x:c r="AN370" s="10" t="n">
        <x:v>82</x:v>
      </x:c>
      <x:c r="AO370" s="9" t="str">
        <x:v>2026-10-21</x:v>
      </x:c>
      <x:c r="AP370" s="11" t="str">
        <x:f>HYPERLINK("https://www.pricecharting.com/game/sega-saturn/road-rash","PriceCharting")</x:f>
        <x:v>PriceCharting</x:v>
      </x:c>
      <x:c r="AQ370" s="9"/>
      <x:c r="AR370" s="9"/>
      <x:c r="AS370" s="9"/>
      <x:c r="AT370" s="9"/>
      <x:c r="AU370" s="9"/>
      <x:c r="AV370" s="9"/>
      <x:c r="AW370" s="9"/>
      <x:c r="AX370" s="9"/>
      <x:c r="AY370" s="9"/>
      <x:c r="AZ370" s="9"/>
      <x:c r="BA370" s="11" t="str">
        <x:f>HYPERLINK("https://www.mobygames.com/search/?q=Road+Rash","MobyGames")</x:f>
        <x:v>MobyGames</x:v>
      </x:c>
      <x:c r="BB370" s="9" t="str">
        <x:v>72%</x:v>
      </x:c>
      <x:c r="BC370" s="9" t="str">
        <x:v>average of 4 reviews on Wikipedia (Allgame, GamePro, Mean Machines Sega, Sega Saturn Magazine)</x:v>
      </x:c>
      <x:c r="BD370" s="9" t="str">
        <x:f>HYPERLINK("https://en.wikipedia.org/wiki/Road_Rash_%281994_video_game%29","Source")</x:f>
        <x:v>Source</x:v>
      </x:c>
      <x:c r="BE370" s="11" t="str">
        <x:f>HYPERLINK("https://en.wikipedia.org/wiki/Road_Rash_(1994_video_game)","Wikipedia")</x:f>
        <x:v>Wikipedia</x:v>
      </x:c>
      <x:c r="BF370" s="11" t="str">
        <x:f>HYPERLINK("https://backloggd.com/search/games/Road%20Rash/","Backloggd")</x:f>
        <x:v>Backloggd</x:v>
      </x:c>
      <x:c r="BG370" s="11" t="str">
        <x:f>HYPERLINK("https://segaretro.org/Road_Rash_(32-bit)","Sega Retro")</x:f>
        <x:v>Sega Retro</x:v>
      </x:c>
      <x:c r="BH370" s="9"/>
      <x:c r="BI370" s="12" t="str">
        <x:v>No</x:v>
      </x:c>
      <x:c r="BJ370" s="12" t="str"/>
      <x:c r="BK370" s="12" t="str">
        <x:v>No</x:v>
      </x:c>
      <x:c r="BL370" s="12" t="str"/>
      <x:c r="BM370" s="12" t="str"/>
      <x:c r="BN370" s="12" t="str"/>
      <x:c r="BO370" s="12" t="str"/>
      <x:c r="BP370" s="12" t="str"/>
      <x:c r="BQ370" s="12" t="str"/>
    </x:row>
    <x:row r="371">
      <x:c r="A371" s="9" t="str">
        <x:v>saturn-50</x:v>
      </x:c>
      <x:c r="B371" s="9" t="str">
        <x:v>the-need-for-speed</x:v>
      </x:c>
      <x:c r="C371" s="9" t="str">
        <x:v>Sega Saturn</x:v>
      </x:c>
      <x:c r="D371" s="9" t="str">
        <x:v>The Need for Speed</x:v>
      </x:c>
      <x:c r="E371" s="9" t="str"/>
      <x:c r="F371" s="9" t="str">
        <x:v>EA Canada (Pioneer Productions)</x:v>
      </x:c>
      <x:c r="G371" s="9" t="str">
        <x:v>Electronic Arts (NA/EU)</x:v>
      </x:c>
      <x:c r="H371" s="9" t="n">
        <x:v>1996</x:v>
      </x:c>
      <x:c r="I371" s="9" t="str">
        <x:v>Yes</x:v>
      </x:c>
      <x:c r="J371" s="9" t="str">
        <x:v>No</x:v>
      </x:c>
      <x:c r="K371" s="9" t="str">
        <x:v>Yes</x:v>
      </x:c>
      <x:c r="L371" s="9" t="str">
        <x:v>No</x:v>
      </x:c>
      <x:c r="M371" s="9" t="str">
        <x:v>Racing</x:v>
      </x:c>
      <x:c r="N371" s="9" t="str">
        <x:v>Live-action</x:v>
      </x:c>
      <x:c r="O371" s="9" t="n">
        <x:v>2</x:v>
      </x:c>
      <x:c r="P371" s="9" t="str">
        <x:v>Cutscenes only</x:v>
      </x:c>
      <x:c r="Q371" s="9" t="str">
        <x:v>Released</x:v>
      </x:c>
      <x:c r="R371" s="9" t="str">
        <x:v>Port of The Need for Speed (3DO, 1994)</x:v>
      </x:c>
      <x:c r="S371" s="9" t="str">
        <x:v>3DO, DOS, PlayStation</x:v>
      </x:c>
      <x:c r="T371" s="9" t="str">
        <x:v>—</x:v>
      </x:c>
      <x:c r="U371" s="9" t="n">
        <x:v>1</x:v>
      </x:c>
      <x:c r="V371" s="9" t="str">
        <x:v>Yes (verify)</x:v>
      </x:c>
      <x:c r="W371" s="9" t="str">
        <x:v>Standard pad; Arcade Racer wheel support — verify</x:v>
      </x:c>
      <x:c r="X371" s="9" t="str">
        <x:v>Low–Med</x:v>
      </x:c>
      <x:c r="Y371" s="9" t="str">
        <x:v>Road &amp; Track-licensed car showcase videos (verify)</x:v>
      </x:c>
      <x:c r="Z371" s="9" t="str">
        <x:v>3–5 hr</x:v>
      </x:c>
      <x:c r="AA371" s="9" t="str">
        <x:v>Road &amp; Track's car showcase videos and a Lamborghini Diablo on a Saturn: the first Need for Speed, FMV intros and all.</x:v>
      </x:c>
      <x:c r="AB371" s="9" t="str">
        <x:v>None known (verify)</x:v>
      </x:c>
      <x:c r="AC371" s="9" t="str">
        <x:v>Short music-backed showcase video for each car plus intro — window size verify</x:v>
      </x:c>
      <x:c r="AD371" s="9" t="str">
        <x:v>Moderate</x:v>
      </x:c>
      <x:c r="AE371" s="9" t="str">
        <x:v>Tournament win clip; no branching</x:v>
      </x:c>
      <x:c r="AF371" s="9" t="str">
        <x:v>The series began as a collaboration with Road &amp; Track, which supplied car data. The Saturn and PS versions add three tracks over the 3DO original.</x:v>
      </x:c>
      <x:c r="AG371" s="9" t="str">
        <x:v>NA and PAL releases</x:v>
      </x:c>
      <x:c r="AH371" s="9" t="str">
        <x:v>No</x:v>
      </x:c>
      <x:c r="AI371" s="9" t="str">
        <x:v>Easy</x:v>
      </x:c>
      <x:c r="AJ371" s="9"/>
      <x:c r="AK371" s="9" t="str">
        <x:v>Japan got a Nissan-only spin-off, Over Drivin' GT-R (Saturn, 1996), not this game. GamePro rated the Saturn version comparable to the PS one.</x:v>
      </x:c>
      <x:c r="AL371" s="10" t="n">
        <x:v>16.98</x:v>
      </x:c>
      <x:c r="AM371" s="10" t="n">
        <x:v>42.88</x:v>
      </x:c>
      <x:c r="AN371" s="10" t="n">
        <x:v>95.4</x:v>
      </x:c>
      <x:c r="AO371" s="9" t="str">
        <x:v>2026-10-21</x:v>
      </x:c>
      <x:c r="AP371" s="11" t="str">
        <x:f>HYPERLINK("https://www.pricecharting.com/game/sega-saturn/need-for-speed","PriceCharting")</x:f>
        <x:v>PriceCharting</x:v>
      </x:c>
      <x:c r="AQ371" s="9"/>
      <x:c r="AR371" s="9"/>
      <x:c r="AS371" s="9"/>
      <x:c r="AT371" s="9"/>
      <x:c r="AU371" s="9"/>
      <x:c r="AV371" s="9"/>
      <x:c r="AW371" s="9"/>
      <x:c r="AX371" s="9"/>
      <x:c r="AY371" s="9" t="str">
        <x:v>86%</x:v>
      </x:c>
      <x:c r="AZ371" s="9" t="str">
        <x:v>3.6</x:v>
      </x:c>
      <x:c r="BA371" s="11" t="str">
        <x:f>HYPERLINK("https://www.mobygames.com/search/?q=The+Need+for+Speed","MobyGames")</x:f>
        <x:v>MobyGames</x:v>
      </x:c>
      <x:c r="BB371" s="9" t="str">
        <x:v>95%</x:v>
      </x:c>
      <x:c r="BC371" s="9" t="str">
        <x:v>GameRankings, 1 review</x:v>
      </x:c>
      <x:c r="BD371" s="9" t="str">
        <x:f>HYPERLINK("https://web.archive.org/web/20191209011313id_/https://www.gamerankings.com/saturn/573980-road-and-track-presents-the-need-for-speed/","Source")</x:f>
        <x:v>Source</x:v>
      </x:c>
      <x:c r="BE371" s="11" t="str">
        <x:f>HYPERLINK("https://en.wikipedia.org/wiki/The_Need_for_Speed","Wikipedia")</x:f>
        <x:v>Wikipedia</x:v>
      </x:c>
      <x:c r="BF371" s="11" t="str">
        <x:f>HYPERLINK("https://backloggd.com/search/games/The%20Need%20for%20Speed/","Backloggd")</x:f>
        <x:v>Backloggd</x:v>
      </x:c>
      <x:c r="BG371" s="11" t="str">
        <x:f>HYPERLINK("https://segaretro.org/The_Need_for_Speed","Sega Retro")</x:f>
        <x:v>Sega Retro</x:v>
      </x:c>
      <x:c r="BH371" s="9"/>
      <x:c r="BI371" s="12" t="str">
        <x:v>No</x:v>
      </x:c>
      <x:c r="BJ371" s="12" t="str"/>
      <x:c r="BK371" s="12" t="str">
        <x:v>No</x:v>
      </x:c>
      <x:c r="BL371" s="12" t="str"/>
      <x:c r="BM371" s="12" t="str"/>
      <x:c r="BN371" s="12" t="str"/>
      <x:c r="BO371" s="12" t="str"/>
      <x:c r="BP371" s="12" t="str"/>
      <x:c r="BQ371" s="12" t="str"/>
    </x:row>
    <x:row r="372">
      <x:c r="A372" s="9" t="str">
        <x:v>saturn-51</x:v>
      </x:c>
      <x:c r="B372" s="9" t="str">
        <x:v>congo-the-movie-the-lost-city-of-zinj</x:v>
      </x:c>
      <x:c r="C372" s="9" t="str">
        <x:v>Sega Saturn</x:v>
      </x:c>
      <x:c r="D372" s="9" t="str">
        <x:v>Congo the Movie: The Lost City of Zinj</x:v>
      </x:c>
      <x:c r="E372" s="9" t="str">
        <x:v>Congo (short title)</x:v>
      </x:c>
      <x:c r="F372" s="9" t="str">
        <x:v>Jumpin' Jack Software</x:v>
      </x:c>
      <x:c r="G372" s="9" t="str">
        <x:v>Sega (NA)</x:v>
      </x:c>
      <x:c r="H372" s="9" t="n">
        <x:v>1996</x:v>
      </x:c>
      <x:c r="I372" s="9" t="str">
        <x:v>Yes</x:v>
      </x:c>
      <x:c r="J372" s="9" t="str">
        <x:v>No</x:v>
      </x:c>
      <x:c r="K372" s="9" t="str">
        <x:v>No</x:v>
      </x:c>
      <x:c r="L372" s="9" t="str">
        <x:v>No</x:v>
      </x:c>
      <x:c r="M372" s="9" t="str">
        <x:v>First-person shooter</x:v>
      </x:c>
      <x:c r="N372" s="9" t="str">
        <x:v>Live-action</x:v>
      </x:c>
      <x:c r="O372" s="9" t="n">
        <x:v>2</x:v>
      </x:c>
      <x:c r="P372" s="9" t="str">
        <x:v>Cutscenes only</x:v>
      </x:c>
      <x:c r="Q372" s="9" t="str">
        <x:v>Released</x:v>
      </x:c>
      <x:c r="R372" s="9" t="str">
        <x:v>Film license (Congo, Paramount, 1995)</x:v>
      </x:c>
      <x:c r="S372" s="9" t="str">
        <x:v>—</x:v>
      </x:c>
      <x:c r="T372" s="9" t="str">
        <x:v>Steven Anthony Jones (Butembo Kabalo)</x:v>
      </x:c>
      <x:c r="U372" s="9" t="n">
        <x:v>1</x:v>
      </x:c>
      <x:c r="V372" s="9" t="str">
        <x:v>Unknown — verify</x:v>
      </x:c>
      <x:c r="W372" s="9" t="str">
        <x:v>Standard pad</x:v>
      </x:c>
      <x:c r="X372" s="9" t="str">
        <x:v>Low</x:v>
      </x:c>
      <x:c r="Y372" s="9" t="str"/>
      <x:c r="Z372" s="9" t="str">
        <x:v>3–5 hr</x:v>
      </x:c>
      <x:c r="AA372" s="9" t="str">
        <x:v>A forgotten Saturn Doom-style tie-in to the killer-gorilla movie, told through new live-action video with an original side story.</x:v>
      </x:c>
      <x:c r="AB372" s="9" t="str">
        <x:v>None known (verify)</x:v>
      </x:c>
      <x:c r="AC372" s="9" t="str">
        <x:v>Original live-action FMV by A Commotion Pictures in TrueMotion S; no film clips — window size verify</x:v>
      </x:c>
      <x:c r="AD372" s="9" t="str">
        <x:v>Moderate</x:v>
      </x:c>
      <x:c r="AE372" s="9" t="str">
        <x:v>One ending</x:v>
      </x:c>
      <x:c r="AF372" s="9" t="str">
        <x:v>The FMV was shot for the game (a side story about the sole survivor of the first TraviCom expedition) and the score is original, with nothing from the film soundtrack.</x:v>
      </x:c>
      <x:c r="AG372" s="9" t="str">
        <x:v>North America only</x:v>
      </x:c>
      <x:c r="AH372" s="9" t="str">
        <x:v>No</x:v>
      </x:c>
      <x:c r="AI372" s="9" t="str">
        <x:v>Easy</x:v>
      </x:c>
      <x:c r="AJ372" s="9"/>
      <x:c r="AK372" s="9" t="str">
        <x:v>Wikipedia confirms original FMV, not film clips, and an original score. Critics called it a dull Doom clone with cartoonish enemies.</x:v>
      </x:c>
      <x:c r="AL372" s="10" t="n">
        <x:v>22.7</x:v>
      </x:c>
      <x:c r="AM372" s="10" t="n">
        <x:v>43.6</x:v>
      </x:c>
      <x:c r="AN372" s="10" t="n">
        <x:v>120.6</x:v>
      </x:c>
      <x:c r="AO372" s="9" t="str">
        <x:v>2026-10-21</x:v>
      </x:c>
      <x:c r="AP372" s="11" t="str">
        <x:f>HYPERLINK("https://www.pricecharting.com/game/sega-saturn/congo-the-movie","PriceCharting")</x:f>
        <x:v>PriceCharting</x:v>
      </x:c>
      <x:c r="AQ372" s="9"/>
      <x:c r="AR372" s="9"/>
      <x:c r="AS372" s="9"/>
      <x:c r="AT372" s="9"/>
      <x:c r="AU372" s="9"/>
      <x:c r="AV372" s="9"/>
      <x:c r="AW372" s="9"/>
      <x:c r="AX372" s="9"/>
      <x:c r="AY372" s="9"/>
      <x:c r="AZ372" s="9"/>
      <x:c r="BA372" s="11" t="str">
        <x:f>HYPERLINK("https://www.mobygames.com/search/?q=Congo+the+Movie%3A+The+Lost+City+of+Zinj","MobyGames")</x:f>
        <x:v>MobyGames</x:v>
      </x:c>
      <x:c r="BB372" s="9" t="str">
        <x:v>51%</x:v>
      </x:c>
      <x:c r="BC372" s="9" t="str">
        <x:v>GameRankings, 2 reviews</x:v>
      </x:c>
      <x:c r="BD372" s="9" t="str">
        <x:f>HYPERLINK("https://web.archive.org/web/20191209015653id_/https://www.gamerankings.com/saturn/915914-congo-the-movie-the-lost-city-of-zinj/","Source")</x:f>
        <x:v>Source</x:v>
      </x:c>
      <x:c r="BE372" s="11" t="str">
        <x:f>HYPERLINK("https://en.wikipedia.org/wiki/Congo_the_Movie:_The_Lost_City_of_Zinj","Wikipedia")</x:f>
        <x:v>Wikipedia</x:v>
      </x:c>
      <x:c r="BF372" s="11" t="str">
        <x:f>HYPERLINK("https://backloggd.com/search/games/Congo%20the%20Movie%3A%20The%20Lost%20City%20of%20Zinj/","Backloggd")</x:f>
        <x:v>Backloggd</x:v>
      </x:c>
      <x:c r="BG372" s="11" t="str">
        <x:f>HYPERLINK("https://segaretro.org/Congo_the_Movie:_The_Lost_City_of_Zinj","Sega Retro")</x:f>
        <x:v>Sega Retro</x:v>
      </x:c>
      <x:c r="BH372" s="9"/>
      <x:c r="BI372" s="12" t="str">
        <x:v>No</x:v>
      </x:c>
      <x:c r="BJ372" s="12" t="str"/>
      <x:c r="BK372" s="12" t="str">
        <x:v>No</x:v>
      </x:c>
      <x:c r="BL372" s="12" t="str"/>
      <x:c r="BM372" s="12" t="str"/>
      <x:c r="BN372" s="12" t="str"/>
      <x:c r="BO372" s="12" t="str"/>
      <x:c r="BP372" s="12" t="str"/>
      <x:c r="BQ372" s="12" t="str"/>
    </x:row>
    <x:row r="373">
      <x:c r="A373" s="9" t="str">
        <x:v>saturn-52</x:v>
      </x:c>
      <x:c r="B373" s="9" t="str">
        <x:v>independence-day</x:v>
      </x:c>
      <x:c r="C373" s="9" t="str">
        <x:v>Sega Saturn</x:v>
      </x:c>
      <x:c r="D373" s="9" t="str">
        <x:v>Independence Day</x:v>
      </x:c>
      <x:c r="E373" s="9" t="str"/>
      <x:c r="F373" s="9" t="str">
        <x:v>Radical Entertainment</x:v>
      </x:c>
      <x:c r="G373" s="9" t="str">
        <x:v>Fox Interactive (NA, distributed by 20th Century Fox Home Entertainment); EA distributed internationally</x:v>
      </x:c>
      <x:c r="H373" s="9" t="n">
        <x:v>1997</x:v>
      </x:c>
      <x:c r="I373" s="9" t="str">
        <x:v>Yes</x:v>
      </x:c>
      <x:c r="J373" s="9" t="str">
        <x:v>No</x:v>
      </x:c>
      <x:c r="K373" s="9" t="str">
        <x:v>Yes</x:v>
      </x:c>
      <x:c r="L373" s="9" t="str">
        <x:v>No</x:v>
      </x:c>
      <x:c r="M373" s="9" t="str">
        <x:v>Flight combat</x:v>
      </x:c>
      <x:c r="N373" s="9" t="str">
        <x:v>Live-action</x:v>
      </x:c>
      <x:c r="O373" s="9" t="n">
        <x:v>2</x:v>
      </x:c>
      <x:c r="P373" s="9" t="str">
        <x:v>Cutscenes only</x:v>
      </x:c>
      <x:c r="Q373" s="9" t="str">
        <x:v>Released</x:v>
      </x:c>
      <x:c r="R373" s="9" t="str">
        <x:v>Film license (Independence Day, 20th Century Fox, 1996)</x:v>
      </x:c>
      <x:c r="S373" s="9" t="str">
        <x:v>PlayStation, Windows</x:v>
      </x:c>
      <x:c r="T373" s="9" t="str">
        <x:v>Film clips — cast names verify</x:v>
      </x:c>
      <x:c r="U373" s="9" t="n">
        <x:v>1</x:v>
      </x:c>
      <x:c r="V373" s="9" t="str">
        <x:v>Yes (verify)</x:v>
      </x:c>
      <x:c r="W373" s="9" t="str">
        <x:v>Standard pad; Saturn Link Cable (two consoles)</x:v>
      </x:c>
      <x:c r="X373" s="9" t="str">
        <x:v>Med–High</x:v>
      </x:c>
      <x:c r="Y373" s="9" t="str">
        <x:v>Clips from the 20th Century Fox film between missions (verify) and David Arnold's score</x:v>
      </x:c>
      <x:c r="Z373" s="9" t="str">
        <x:v>3–5 hr</x:v>
      </x:c>
      <x:c r="AA373" s="9" t="str">
        <x:v>Shoot down city destroyers in the 1996 blockbuster's tie-in, with film clips between missions.</x:v>
      </x:c>
      <x:c r="AB373" s="9" t="str">
        <x:v>None known (verify)</x:v>
      </x:c>
      <x:c r="AC373" s="9" t="str">
        <x:v>Film clips in a window — verify</x:v>
      </x:c>
      <x:c r="AD373" s="9" t="str">
        <x:v>Moderate</x:v>
      </x:c>
      <x:c r="AE373" s="9" t="str">
        <x:v>One ending</x:v>
      </x:c>
      <x:c r="AF373" s="9" t="str">
        <x:v>Moved up to November 1996 to match the film's VHS release, then slipped to February 1997. The PS and Saturn versions were developed together.</x:v>
      </x:c>
      <x:c r="AG373" s="9" t="str">
        <x:v>NA and PAL releases</x:v>
      </x:c>
      <x:c r="AH373" s="9" t="str">
        <x:v>No</x:v>
      </x:c>
      <x:c r="AI373" s="9" t="str">
        <x:v>Easy</x:v>
      </x:c>
      <x:c r="AJ373" s="9"/>
      <x:c r="AK373" s="9" t="str">
        <x:v>Wikipedia does not mention film clips; whether the Saturn disc has film footage or only FMV briefings is still unconfirmed (verify). Two-player split screen or Saturn Link Cable. Reviews mixed to negative.</x:v>
      </x:c>
      <x:c r="AL373" s="10" t="n">
        <x:v>14.73</x:v>
      </x:c>
      <x:c r="AM373" s="10" t="n">
        <x:v>23.88</x:v>
      </x:c>
      <x:c r="AN373" s="10" t="n">
        <x:v>82.14</x:v>
      </x:c>
      <x:c r="AO373" s="9" t="str">
        <x:v>2026-10-21</x:v>
      </x:c>
      <x:c r="AP373" s="11" t="str">
        <x:f>HYPERLINK("https://www.pricecharting.com/game/sega-saturn/independence-day","PriceCharting")</x:f>
        <x:v>PriceCharting</x:v>
      </x:c>
      <x:c r="AQ373" s="9"/>
      <x:c r="AR373" s="9"/>
      <x:c r="AS373" s="9"/>
      <x:c r="AT373" s="9"/>
      <x:c r="AU373" s="9"/>
      <x:c r="AV373" s="9"/>
      <x:c r="AW373" s="9"/>
      <x:c r="AX373" s="9"/>
      <x:c r="AY373" s="9"/>
      <x:c r="AZ373" s="9" t="str">
        <x:v>3.0</x:v>
      </x:c>
      <x:c r="BA373" s="11" t="str">
        <x:f>HYPERLINK("https://www.mobygames.com/search/?q=Independence+Day","MobyGames")</x:f>
        <x:v>MobyGames</x:v>
      </x:c>
      <x:c r="BB373" s="9" t="str">
        <x:v>52%</x:v>
      </x:c>
      <x:c r="BC373" s="9" t="str">
        <x:v>GameRankings, 2 reviews</x:v>
      </x:c>
      <x:c r="BD373" s="9" t="str">
        <x:f>HYPERLINK("https://web.archive.org/web/20191209011542id_/https://www.gamerankings.com/saturn/573970-independence-day/","Source")</x:f>
        <x:v>Source</x:v>
      </x:c>
      <x:c r="BE373" s="11" t="str">
        <x:f>HYPERLINK("https://en.wikipedia.org/wiki/Independence_Day_(video_game)","Wikipedia")</x:f>
        <x:v>Wikipedia</x:v>
      </x:c>
      <x:c r="BF373" s="11" t="str">
        <x:f>HYPERLINK("https://backloggd.com/search/games/Independence%20Day/","Backloggd")</x:f>
        <x:v>Backloggd</x:v>
      </x:c>
      <x:c r="BG373" s="11" t="str">
        <x:f>HYPERLINK("https://segaretro.org/Independence_Day","Sega Retro")</x:f>
        <x:v>Sega Retro</x:v>
      </x:c>
      <x:c r="BH373" s="9"/>
      <x:c r="BI373" s="12" t="str">
        <x:v>No</x:v>
      </x:c>
      <x:c r="BJ373" s="12" t="str"/>
      <x:c r="BK373" s="12" t="str">
        <x:v>No</x:v>
      </x:c>
      <x:c r="BL373" s="12" t="str"/>
      <x:c r="BM373" s="12" t="str"/>
      <x:c r="BN373" s="12" t="str"/>
      <x:c r="BO373" s="12" t="str"/>
      <x:c r="BP373" s="12" t="str"/>
      <x:c r="BQ373" s="12" t="str"/>
    </x:row>
    <x:row r="374">
      <x:c r="A374" s="9" t="str">
        <x:v>saturn-53</x:v>
      </x:c>
      <x:c r="B374" s="9" t="str">
        <x:v>ghen-war</x:v>
      </x:c>
      <x:c r="C374" s="9" t="str">
        <x:v>Sega Saturn</x:v>
      </x:c>
      <x:c r="D374" s="9" t="str">
        <x:v>Ghen War</x:v>
      </x:c>
      <x:c r="E374" s="9" t="str">
        <x:v>ゲン ウォー (JP)</x:v>
      </x:c>
      <x:c r="F374" s="9" t="str">
        <x:v>Jumpin' Jack Software</x:v>
      </x:c>
      <x:c r="G374" s="9" t="str">
        <x:v>Sega (NA/EU)</x:v>
      </x:c>
      <x:c r="H374" s="9" t="n">
        <x:v>1995</x:v>
      </x:c>
      <x:c r="I374" s="9" t="str">
        <x:v>Yes</x:v>
      </x:c>
      <x:c r="J374" s="9" t="str">
        <x:v>Yes</x:v>
      </x:c>
      <x:c r="K374" s="9" t="str">
        <x:v>Yes</x:v>
      </x:c>
      <x:c r="L374" s="9" t="str">
        <x:v>No</x:v>
      </x:c>
      <x:c r="M374" s="9" t="str">
        <x:v>Mech shooter</x:v>
      </x:c>
      <x:c r="N374" s="9" t="str">
        <x:v>Live-action + CG</x:v>
      </x:c>
      <x:c r="O374" s="9" t="n">
        <x:v>3</x:v>
      </x:c>
      <x:c r="P374" s="9" t="str">
        <x:v>Cutscenes only</x:v>
      </x:c>
      <x:c r="Q374" s="9" t="str">
        <x:v>Released</x:v>
      </x:c>
      <x:c r="R374" s="9" t="str">
        <x:v>Original production</x:v>
      </x:c>
      <x:c r="S374" s="9" t="str">
        <x:v>—</x:v>
      </x:c>
      <x:c r="T374" s="9" t="str">
        <x:v>Live-action crew: Jenners, Gina, Akira, Boxhead (actors not named)</x:v>
      </x:c>
      <x:c r="U374" s="9" t="n">
        <x:v>1</x:v>
      </x:c>
      <x:c r="V374" s="9" t="str">
        <x:v>Unknown — verify</x:v>
      </x:c>
      <x:c r="W374" s="9" t="str">
        <x:v>Standard pad</x:v>
      </x:c>
      <x:c r="X374" s="9" t="str">
        <x:v>Low</x:v>
      </x:c>
      <x:c r="Y374" s="9" t="str"/>
      <x:c r="Z374" s="9" t="str">
        <x:v>4–6 hr</x:v>
      </x:c>
      <x:c r="AA374" s="9" t="str">
        <x:v>A Saturn-exclusive mech shooter with live-action alien-war briefings from Sega's early Western push.</x:v>
      </x:c>
      <x:c r="AB374" s="9" t="str">
        <x:v>None known (verify)</x:v>
      </x:c>
      <x:c r="AC374" s="9" t="str">
        <x:v>Story told through cutscenes done mostly in full-motion video — window size verify</x:v>
      </x:c>
      <x:c r="AD374" s="9" t="str">
        <x:v>Hard</x:v>
      </x:c>
      <x:c r="AE374" s="9" t="str">
        <x:v>Multiple endings; the best has the crew hailed as heroes</x:v>
      </x:c>
      <x:c r="AF374" s="9" t="str">
        <x:v>Early deformable terrain: firing into a mountain wears it away. Saturn Power ranked it 99th in its 1998 Top 100 Saturn games.</x:v>
      </x:c>
      <x:c r="AG374" s="9" t="str">
        <x:v>NA and PAL; JP release 26 April 1996</x:v>
      </x:c>
      <x:c r="AH374" s="9" t="str">
        <x:v>No</x:v>
      </x:c>
      <x:c r="AI374" s="9" t="str">
        <x:v>Easy</x:v>
      </x:c>
      <x:c r="AJ374" s="9"/>
      <x:c r="AK374" s="9" t="str">
        <x:v>Saturn exclusive by Jumpin' Jack Software. Critics were split on visuals and controls.</x:v>
      </x:c>
      <x:c r="AL374" s="10" t="n">
        <x:v>9.69</x:v>
      </x:c>
      <x:c r="AM374" s="10" t="n">
        <x:v>19.2</x:v>
      </x:c>
      <x:c r="AN374" s="10" t="n">
        <x:v>54.98</x:v>
      </x:c>
      <x:c r="AO374" s="9" t="str">
        <x:v>2026-10-21</x:v>
      </x:c>
      <x:c r="AP374" s="11" t="str">
        <x:f>HYPERLINK("https://www.pricecharting.com/game/sega-saturn/ghen-war","PriceCharting")</x:f>
        <x:v>PriceCharting</x:v>
      </x:c>
      <x:c r="AQ374" s="9"/>
      <x:c r="AR374" s="9"/>
      <x:c r="AS374" s="9"/>
      <x:c r="AT374" s="9"/>
      <x:c r="AU374" s="9"/>
      <x:c r="AV374" s="9"/>
      <x:c r="AW374" s="9"/>
      <x:c r="AX374" s="9"/>
      <x:c r="AY374" s="9" t="str">
        <x:v>68%</x:v>
      </x:c>
      <x:c r="AZ374" s="9"/>
      <x:c r="BA374" s="11" t="str">
        <x:f>HYPERLINK("https://www.mobygames.com/search/?q=Ghen+War","MobyGames")</x:f>
        <x:v>MobyGames</x:v>
      </x:c>
      <x:c r="BB374" s="9" t="str">
        <x:v>65%</x:v>
      </x:c>
      <x:c r="BC374" s="9" t="str">
        <x:v>average of 5 reviews on Wikipedia (Allgame, EGM, Fam, NGen, Sega Saturn Magazine)</x:v>
      </x:c>
      <x:c r="BD374" s="9" t="str">
        <x:f>HYPERLINK("https://en.wikipedia.org/wiki/Ghen_War","Source")</x:f>
        <x:v>Source</x:v>
      </x:c>
      <x:c r="BE374" s="11" t="str">
        <x:f>HYPERLINK("https://en.wikipedia.org/wiki/Ghen_War","Wikipedia")</x:f>
        <x:v>Wikipedia</x:v>
      </x:c>
      <x:c r="BF374" s="11" t="str">
        <x:f>HYPERLINK("https://backloggd.com/search/games/Ghen%20War/","Backloggd")</x:f>
        <x:v>Backloggd</x:v>
      </x:c>
      <x:c r="BG374" s="11" t="str">
        <x:f>HYPERLINK("https://segaretro.org/Ghen_War","Sega Retro")</x:f>
        <x:v>Sega Retro</x:v>
      </x:c>
      <x:c r="BH374" s="9"/>
      <x:c r="BI374" s="12" t="str">
        <x:v>No</x:v>
      </x:c>
      <x:c r="BJ374" s="12" t="str"/>
      <x:c r="BK374" s="12" t="str">
        <x:v>No</x:v>
      </x:c>
      <x:c r="BL374" s="12" t="str"/>
      <x:c r="BM374" s="12" t="str"/>
      <x:c r="BN374" s="12" t="str"/>
      <x:c r="BO374" s="12" t="str"/>
      <x:c r="BP374" s="12" t="str"/>
      <x:c r="BQ374" s="12" t="str"/>
    </x:row>
    <x:row r="375">
      <x:c r="A375" s="9" t="str">
        <x:v>saturn-54</x:v>
      </x:c>
      <x:c r="B375" s="9" t="str">
        <x:v>minnesota-fats-pool-legend</x:v>
      </x:c>
      <x:c r="C375" s="9" t="str">
        <x:v>Sega Saturn</x:v>
      </x:c>
      <x:c r="D375" s="9" t="str">
        <x:v>Minnesota Fats: Pool Legend</x:v>
      </x:c>
      <x:c r="E375" s="9" t="str">
        <x:v>Side Pocket 2: Densetsu no Hustler (サイドポケット2 伝説のハスラー) (JP)</x:v>
      </x:c>
      <x:c r="F375" s="9" t="str">
        <x:v>Data East</x:v>
      </x:c>
      <x:c r="G375" s="9" t="str">
        <x:v>Data East (NA/JP)</x:v>
      </x:c>
      <x:c r="H375" s="9" t="n">
        <x:v>1995</x:v>
      </x:c>
      <x:c r="I375" s="9" t="str">
        <x:v>Yes</x:v>
      </x:c>
      <x:c r="J375" s="9" t="str">
        <x:v>Yes</x:v>
      </x:c>
      <x:c r="K375" s="9" t="str">
        <x:v>No</x:v>
      </x:c>
      <x:c r="L375" s="9" t="str">
        <x:v>No</x:v>
      </x:c>
      <x:c r="M375" s="9" t="str">
        <x:v>Pool / cue sports</x:v>
      </x:c>
      <x:c r="N375" s="9" t="str">
        <x:v>Live-action</x:v>
      </x:c>
      <x:c r="O375" s="9" t="n">
        <x:v>3</x:v>
      </x:c>
      <x:c r="P375" s="9" t="str">
        <x:v>Sports w/ FMV</x:v>
      </x:c>
      <x:c r="Q375" s="9" t="str">
        <x:v>Released</x:v>
      </x:c>
      <x:c r="R375" s="9" t="str">
        <x:v>Original production; sequel to Data East's Side Pocket. A different game shares the name on Genesis</x:v>
      </x:c>
      <x:c r="S375" s="9" t="str">
        <x:v>Genesis (a different game with the same title and CG cutscenes)</x:v>
      </x:c>
      <x:c r="T375" s="9" t="str">
        <x:v>Live-action cast unnamed; some opponents played by Data East marketing staff. JP dub: Chikao Otsuka voices Fats</x:v>
      </x:c>
      <x:c r="U375" s="9" t="n">
        <x:v>1</x:v>
      </x:c>
      <x:c r="V375" s="9" t="str">
        <x:v>Unknown — verify</x:v>
      </x:c>
      <x:c r="W375" s="9" t="str">
        <x:v>Standard control pad</x:v>
      </x:c>
      <x:c r="X375" s="9" t="str">
        <x:v>Low</x:v>
      </x:c>
      <x:c r="Y375" s="9" t="str"/>
      <x:c r="Z375" s="9" t="str">
        <x:v>2–4 hr (story mode)</x:v>
      </x:c>
      <x:c r="AA375" s="9" t="str">
        <x:v>You play as Minnesota Fats himself, hustling across America through live-action cutscenes shot on no budget, with Data East's marketing staff as the rival hustlers.</x:v>
      </x:c>
      <x:c r="AB375" s="9" t="str">
        <x:v>None known</x:v>
      </x:c>
      <x:c r="AC375" s="9" t="str">
        <x:v>Small-window live-action FMV cutscenes between story-mode matches plus a short documentary on Fats; window size and frame rate not confirmed (verify)</x:v>
      </x:c>
      <x:c r="AD375" s="9" t="str">
        <x:v>Moderate; aiming controls were criticised as clumsy</x:v>
      </x:c>
      <x:c r="AE375" s="9" t="str">
        <x:v>Linear story mode through a run of US cities; one ending (verify)</x:v>
      </x:c>
      <x:c r="AF375" s="9" t="str">
        <x:v>Unlike the Genesis version, on Saturn you play as Fats rather than a rookie chasing him. The disc adds a training mode and a short documentary on Fats. Famitsu scored it 28/40.</x:v>
      </x:c>
      <x:c r="AG375" s="9" t="str">
        <x:v>NA (Data East) and JP (Side Pocket 2: Densetsu no Hustler, 31 March 1995). No PAL release found</x:v>
      </x:c>
      <x:c r="AH375" s="9" t="str">
        <x:v>No</x:v>
      </x:c>
      <x:c r="AI375" s="9" t="str">
        <x:v>Easy</x:v>
      </x:c>
      <x:c r="AJ375" s="9"/>
      <x:c r="AK375" s="9" t="str">
        <x:v>FMV cutscenes and documentary confirmed. The JP Side Pocket 2 has the same story (Fats hunts his pupil Junior and Big G) with a Japanese voice cast. Next Generation gave the Saturn version 1/5.</x:v>
      </x:c>
      <x:c r="AL375" s="10" t="n">
        <x:v>21.97</x:v>
      </x:c>
      <x:c r="AM375" s="10" t="n">
        <x:v>60.53</x:v>
      </x:c>
      <x:c r="AN375" s="10" t="n">
        <x:v>103</x:v>
      </x:c>
      <x:c r="AO375" s="9" t="str">
        <x:v>2026-10-21</x:v>
      </x:c>
      <x:c r="AP375" s="11" t="str">
        <x:f>HYPERLINK("https://www.pricecharting.com/game/sega-saturn/minnesota-fats-pool-legend","PriceCharting")</x:f>
        <x:v>PriceCharting</x:v>
      </x:c>
      <x:c r="AQ375" s="9"/>
      <x:c r="AR375" s="9"/>
      <x:c r="AS375" s="9"/>
      <x:c r="AT375" s="9"/>
      <x:c r="AU375" s="9"/>
      <x:c r="AV375" s="9"/>
      <x:c r="AW375" s="9"/>
      <x:c r="AX375" s="9"/>
      <x:c r="AY375" s="9"/>
      <x:c r="AZ375" s="9"/>
      <x:c r="BA375" s="11" t="str">
        <x:f>HYPERLINK("https://www.mobygames.com/search/?q=Minnesota+Fats%3A+Pool+Legend","MobyGames")</x:f>
        <x:v>MobyGames</x:v>
      </x:c>
      <x:c r="BB375" s="9"/>
      <x:c r="BC375" s="9"/>
      <x:c r="BD375" s="9"/>
      <x:c r="BE375" s="11" t="str">
        <x:f>HYPERLINK("https://en.wikipedia.org/wiki/Minnesota_Fats:_Pool_Legend","Wikipedia")</x:f>
        <x:v>Wikipedia</x:v>
      </x:c>
      <x:c r="BF375" s="11" t="str">
        <x:f>HYPERLINK("https://backloggd.com/search/games/Minnesota%20Fats%3A%20Pool%20Legend/","Backloggd")</x:f>
        <x:v>Backloggd</x:v>
      </x:c>
      <x:c r="BG375" s="11" t="str">
        <x:f>HYPERLINK("https://segaretro.org/Minnesota_Fats:_Pool_Legend_(Saturn)","Sega Retro")</x:f>
        <x:v>Sega Retro</x:v>
      </x:c>
      <x:c r="BH375" s="9"/>
      <x:c r="BI375" s="12" t="str">
        <x:v>No</x:v>
      </x:c>
      <x:c r="BJ375" s="12" t="str"/>
      <x:c r="BK375" s="12" t="str">
        <x:v>No</x:v>
      </x:c>
      <x:c r="BL375" s="12" t="str"/>
      <x:c r="BM375" s="12" t="str"/>
      <x:c r="BN375" s="12" t="str"/>
      <x:c r="BO375" s="12" t="str"/>
      <x:c r="BP375" s="12" t="str"/>
      <x:c r="BQ375" s="12" t="str"/>
    </x:row>
    <x:row r="376">
      <x:c r="A376" s="9" t="str">
        <x:v>saturn-55</x:v>
      </x:c>
      <x:c r="B376" s="9" t="str">
        <x:v>resident-evil</x:v>
      </x:c>
      <x:c r="C376" s="9" t="str">
        <x:v>Sega Saturn</x:v>
      </x:c>
      <x:c r="D376" s="9" t="str">
        <x:v>Resident Evil</x:v>
      </x:c>
      <x:c r="E376" s="9" t="str">
        <x:v>Biohazard (バイオハザード) (JP)</x:v>
      </x:c>
      <x:c r="F376" s="9" t="str">
        <x:v>Capcom; Saturn conversion by Nextech</x:v>
      </x:c>
      <x:c r="G376" s="9" t="str">
        <x:v>Capcom (NA/JP), Sega (EU)</x:v>
      </x:c>
      <x:c r="H376" s="9" t="n">
        <x:v>1997</x:v>
      </x:c>
      <x:c r="I376" s="9" t="str">
        <x:v>Yes</x:v>
      </x:c>
      <x:c r="J376" s="9" t="str">
        <x:v>Yes</x:v>
      </x:c>
      <x:c r="K376" s="9" t="str">
        <x:v>Yes</x:v>
      </x:c>
      <x:c r="L376" s="9" t="str">
        <x:v>No</x:v>
      </x:c>
      <x:c r="M376" s="9" t="str">
        <x:v>Survival horror</x:v>
      </x:c>
      <x:c r="N376" s="9" t="str">
        <x:v>Live-action + pre-rendered CG</x:v>
      </x:c>
      <x:c r="O376" s="9" t="n">
        <x:v>2</x:v>
      </x:c>
      <x:c r="P376" s="9" t="str">
        <x:v>Cutscenes only</x:v>
      </x:c>
      <x:c r="Q376" s="9" t="str">
        <x:v>Released</x:v>
      </x:c>
      <x:c r="R376" s="9" t="str">
        <x:v>Port of the 1996 PlayStation original</x:v>
      </x:c>
      <x:c r="S376" s="9" t="str">
        <x:v>PlayStation (incl. Director's Cut), Windows, Nintendo DS (Deadly Silence); GameCube/modern remake is a separate game</x:v>
      </x:c>
      <x:c r="T376" s="9" t="str">
        <x:v>Charlie Kraslavsky (Chris), Inez Jesionowski (Jill), Greg Smith (Barry), Eric Pirius (Wesker), Jason Durkee (Joseph)</x:v>
      </x:c>
      <x:c r="U376" s="9" t="n">
        <x:v>1</x:v>
      </x:c>
      <x:c r="V376" s="9" t="str">
        <x:v>Yes</x:v>
      </x:c>
      <x:c r="W376" s="9" t="str">
        <x:v>Standard control pad</x:v>
      </x:c>
      <x:c r="X376" s="9" t="str">
        <x:v>Low</x:v>
      </x:c>
      <x:c r="Y376" s="9" t="str"/>
      <x:c r="Z376" s="9" t="str">
        <x:v>5–8 hr first run; under 3 hr once learned</x:v>
      </x:c>
      <x:c r="AA376" s="9" t="str">
        <x:v>The Saturn Resident Evil adds a Battle Game, new monsters and a second Tyrant fight, and it keeps the famously stilted live-action intro.</x:v>
      </x:c>
      <x:c r="AB376" s="9" t="str">
        <x:v>Battle Game mode unlocks when you finish the game; a button code to unlock it early has been reported (verify inputs)</x:v>
      </x:c>
      <x:c r="AC376" s="9" t="str">
        <x:v>Live-action FMV intro and endings (shot in Japan, on the Tama River bank and a Tokyo studio) plus short CG clips; the colour intro is a PC feature, consoles show it in black and white (verify Saturn)</x:v>
      </x:c>
      <x:c r="AD376" s="9" t="str">
        <x:v>Moderate; Chris is harder (fewer item slots, no lockpick)</x:v>
      </x:c>
      <x:c r="AE376" s="9" t="str">
        <x:v>Multiple endings per character depending on who survives (several per character)</x:v>
      </x:c>
      <x:c r="AF376" s="9" t="str">
        <x:v>The Saturn version adds a Battle Game mode, extra enemies and a second Tyrant fight. Capcom unveiled the Saturn port at the April 1997 Tokyo Game Show after hesitating over the hardware.</x:v>
      </x:c>
      <x:c r="AG376" s="9" t="str">
        <x:v>JP Biohazard; NA and PAL Resident Evil. JP Satakore budget reprint (verify)</x:v>
      </x:c>
      <x:c r="AH376" s="9" t="str">
        <x:v>No (Saturn version); the PS Director's Cut was sold on PSN</x:v>
      </x:c>
      <x:c r="AI376" s="9" t="str">
        <x:v>Expensive</x:v>
      </x:c>
      <x:c r="AJ376" s="9"/>
      <x:c r="AK376" s="9" t="str">
        <x:v>Saturn port developer and EU publisher unconfirmed (verify). The FMV is Capcom's own footage, so Content ID risk is low.</x:v>
      </x:c>
      <x:c r="AL376" s="10" t="n">
        <x:v>139.97</x:v>
      </x:c>
      <x:c r="AM376" s="10" t="n">
        <x:v>386.17</x:v>
      </x:c>
      <x:c r="AN376" s="10" t="n">
        <x:v>656</x:v>
      </x:c>
      <x:c r="AO376" s="9" t="str">
        <x:v>2026-10-21</x:v>
      </x:c>
      <x:c r="AP376" s="11" t="str">
        <x:f>HYPERLINK("https://www.pricecharting.com/game/sega-saturn/resident-evil","PriceCharting")</x:f>
        <x:v>PriceCharting</x:v>
      </x:c>
      <x:c r="AQ376" s="9"/>
      <x:c r="AR376" s="9"/>
      <x:c r="AS376" s="9"/>
      <x:c r="AT376" s="9"/>
      <x:c r="AU376" s="9"/>
      <x:c r="AV376" s="9"/>
      <x:c r="AW376" s="9"/>
      <x:c r="AX376" s="9"/>
      <x:c r="AY376" s="9" t="str">
        <x:v>88%</x:v>
      </x:c>
      <x:c r="AZ376" s="9" t="str">
        <x:v>4.2</x:v>
      </x:c>
      <x:c r="BA376" s="11" t="str">
        <x:f>HYPERLINK("https://www.mobygames.com/search/?q=Resident+Evil","MobyGames")</x:f>
        <x:v>MobyGames</x:v>
      </x:c>
      <x:c r="BB376" s="9" t="str">
        <x:v>76%</x:v>
      </x:c>
      <x:c r="BC376" s="9" t="str">
        <x:v>GameRankings, 2 reviews</x:v>
      </x:c>
      <x:c r="BD376" s="9" t="str">
        <x:f>HYPERLINK("https://web.archive.org/web/20191209011021id_/https://www.gamerankings.com/saturn/198455-resident-evil/","Source")</x:f>
        <x:v>Source</x:v>
      </x:c>
      <x:c r="BE376" s="11" t="str">
        <x:f>HYPERLINK("https://en.wikipedia.org/wiki/Resident_Evil_(1996_video_game)","Wikipedia")</x:f>
        <x:v>Wikipedia</x:v>
      </x:c>
      <x:c r="BF376" s="11" t="str">
        <x:f>HYPERLINK("https://backloggd.com/search/games/Resident%20Evil/","Backloggd")</x:f>
        <x:v>Backloggd</x:v>
      </x:c>
      <x:c r="BG376" s="11" t="str">
        <x:f>HYPERLINK("https://segaretro.org/Resident_Evil","Sega Retro")</x:f>
        <x:v>Sega Retro</x:v>
      </x:c>
      <x:c r="BH376" s="9"/>
      <x:c r="BI376" s="12" t="str">
        <x:v>No</x:v>
      </x:c>
      <x:c r="BJ376" s="12" t="str"/>
      <x:c r="BK376" s="12" t="str">
        <x:v>No</x:v>
      </x:c>
      <x:c r="BL376" s="12" t="str"/>
      <x:c r="BM376" s="12" t="str"/>
      <x:c r="BN376" s="12" t="str"/>
      <x:c r="BO376" s="12" t="str"/>
      <x:c r="BP376" s="12" t="str"/>
      <x:c r="BQ376" s="12" t="str"/>
    </x:row>
    <x:row r="377">
      <x:c r="A377" s="9" t="str">
        <x:v>saturn-56</x:v>
      </x:c>
      <x:c r="B377" s="9" t="str">
        <x:v>sakura-wars</x:v>
      </x:c>
      <x:c r="C377" s="9" t="str">
        <x:v>Sega Saturn</x:v>
      </x:c>
      <x:c r="D377" s="9" t="str">
        <x:v>Sakura Wars</x:v>
      </x:c>
      <x:c r="E377" s="9" t="str">
        <x:v>Sakura Taisen (サクラ大戦)</x:v>
      </x:c>
      <x:c r="F377" s="9" t="str">
        <x:v>Sega / Red Company</x:v>
      </x:c>
      <x:c r="G377" s="9" t="str">
        <x:v>Sega (JP)</x:v>
      </x:c>
      <x:c r="H377" s="9" t="n">
        <x:v>1996</x:v>
      </x:c>
      <x:c r="I377" s="9" t="str">
        <x:v>No</x:v>
      </x:c>
      <x:c r="J377" s="9" t="str">
        <x:v>Yes</x:v>
      </x:c>
      <x:c r="K377" s="9" t="str">
        <x:v>No</x:v>
      </x:c>
      <x:c r="L377" s="9" t="str">
        <x:v>No</x:v>
      </x:c>
      <x:c r="M377" s="9" t="str">
        <x:v>Dating sim / tactical RPG</x:v>
      </x:c>
      <x:c r="N377" s="9" t="str">
        <x:v>Animated</x:v>
      </x:c>
      <x:c r="O377" s="9" t="n">
        <x:v>3</x:v>
      </x:c>
      <x:c r="P377" s="9" t="str">
        <x:v>Cutscenes only</x:v>
      </x:c>
      <x:c r="Q377" s="9" t="str">
        <x:v>Released</x:v>
      </x:c>
      <x:c r="R377" s="9" t="str">
        <x:v>Original production (concept by Oji Hiroi; characters by Kosuke Fujishima)</x:v>
      </x:c>
      <x:c r="S377" s="9" t="str">
        <x:v>Windows, Dreamcast; remade on PS2 as Sakura Taisen: Atsuki Chishioni; PSP (Sakura Taisen 1&amp;2)</x:v>
      </x:c>
      <x:c r="T377" s="9" t="str">
        <x:v>Akio Suyama (Ichiro Ogami), Chisa Yokoyama (Sakura Shinguji), Urara Takano, Michie Tomizawa, Kumiko Nishihara, Yuriko Fuchizaki, Mayumi Tanaka</x:v>
      </x:c>
      <x:c r="U377" s="9" t="n">
        <x:v>2</x:v>
      </x:c>
      <x:c r="V377" s="9" t="str">
        <x:v>Yes</x:v>
      </x:c>
      <x:c r="W377" s="9" t="str">
        <x:v>Standard control pad</x:v>
      </x:c>
      <x:c r="X377" s="9" t="str">
        <x:v>Low–Med</x:v>
      </x:c>
      <x:c r="Y377" s="9" t="str">
        <x:v>Opening theme "Geki! Teikoku Kagekidan" (Kohei Tanaka) and other vocal tracks may be registered with JASRAC</x:v>
      </x:c>
      <x:c r="Z377" s="9" t="str">
        <x:v>15–20 hr</x:v>
      </x:c>
      <x:c r="AA377" s="9" t="str">
        <x:v>Sega's biggest Japanese Saturn franchise: anime cutscenes, timed LIPS dialogue choices and steam-powered mech battles in a Taisho-era Tokyo theatre troupe.</x:v>
      </x:c>
      <x:c r="AB377" s="9" t="str">
        <x:v>None known</x:v>
      </x:c>
      <x:c r="AC377" s="9" t="str">
        <x:v>Animated FMV opening and story cutscenes (anime by Kyokuichi Tokyo Movie/TMS, directed by Shunji Oga) plus CG segments by Buildup and Neverland — window size verify</x:v>
      </x:c>
      <x:c r="AD377" s="9" t="str">
        <x:v>Easy to moderate; battles are forgiving</x:v>
      </x:c>
      <x:c r="AE377" s="9" t="str">
        <x:v>Multiple endings, depending on which heroine Ogami grows closest to</x:v>
      </x:c>
      <x:c r="AF377" s="9" t="str">
        <x:v>Development took about three years, double the estimate. The anime cinematics came from Sega-owned Kyokuichi Tokyo Movie (later TMS), not Production I.G.</x:v>
      </x:c>
      <x:c r="AG377" s="9" t="str">
        <x:v>First-print edition; Satakore budget reprint (verify); later Sakura Taisen Hanagumi Taisen and other spin-offs</x:v>
      </x:c>
      <x:c r="AH377" s="9" t="str">
        <x:v>No</x:v>
      </x:c>
      <x:c r="AI377" s="9" t="str">
        <x:v>Import</x:v>
      </x:c>
      <x:c r="AJ377" s="9"/>
      <x:c r="AK377" s="9" t="str">
        <x:v>Japan-only, released September 1996 on two CDs. The official English name is Sakura Wars; an English fan translation exists. JP Saturn PriceCharting page not located.</x:v>
      </x:c>
      <x:c r="AL377" s="10" t="n">
        <x:v>12.99</x:v>
      </x:c>
      <x:c r="AM377" s="10" t="n">
        <x:v>17.15</x:v>
      </x:c>
      <x:c r="AN377" s="10" t="n">
        <x:v>43.37</x:v>
      </x:c>
      <x:c r="AO377" s="9" t="str">
        <x:v>2026-10-21</x:v>
      </x:c>
      <x:c r="AP377" s="11" t="str">
        <x:f>HYPERLINK("https://www.pricecharting.com/search-products?q=Sakura+Wars+saturn&amp;type=prices","PriceCharting")</x:f>
        <x:v>PriceCharting</x:v>
      </x:c>
      <x:c r="AQ377" s="9"/>
      <x:c r="AR377" s="9"/>
      <x:c r="AS377" s="9"/>
      <x:c r="AT377" s="9"/>
      <x:c r="AU377" s="9"/>
      <x:c r="AV377" s="9"/>
      <x:c r="AW377" s="9"/>
      <x:c r="AX377" s="9"/>
      <x:c r="AY377" s="9"/>
      <x:c r="AZ377" s="9"/>
      <x:c r="BA377" s="11" t="str">
        <x:f>HYPERLINK("https://www.mobygames.com/search/?q=Sakura+Wars","MobyGames")</x:f>
        <x:v>MobyGames</x:v>
      </x:c>
      <x:c r="BB377" s="9" t="str">
        <x:v>88%</x:v>
      </x:c>
      <x:c r="BC377" s="9" t="str">
        <x:v>average of 3 reviews on Wikipedia (Fam, RPGFan, Sega Saturn Magazine'' (JP))</x:v>
      </x:c>
      <x:c r="BD377" s="9" t="str">
        <x:f>HYPERLINK("https://en.wikipedia.org/wiki/Sakura_Wars_%281996_video_game%29","Source")</x:f>
        <x:v>Source</x:v>
      </x:c>
      <x:c r="BE377" s="11" t="str">
        <x:f>HYPERLINK("https://en.wikipedia.org/wiki/Sakura_Wars_(1996_video_game)","Wikipedia")</x:f>
        <x:v>Wikipedia</x:v>
      </x:c>
      <x:c r="BF377" s="11" t="str">
        <x:f>HYPERLINK("https://backloggd.com/search/games/Sakura%20Wars/","Backloggd")</x:f>
        <x:v>Backloggd</x:v>
      </x:c>
      <x:c r="BG377" s="11" t="str">
        <x:f>HYPERLINK("https://segaretro.org/Sakura_Taisen","Sega Retro")</x:f>
        <x:v>Sega Retro</x:v>
      </x:c>
      <x:c r="BH377" s="9"/>
      <x:c r="BI377" s="12" t="str">
        <x:v>No</x:v>
      </x:c>
      <x:c r="BJ377" s="12" t="str"/>
      <x:c r="BK377" s="12" t="str">
        <x:v>No</x:v>
      </x:c>
      <x:c r="BL377" s="12" t="str"/>
      <x:c r="BM377" s="12" t="str"/>
      <x:c r="BN377" s="12" t="str"/>
      <x:c r="BO377" s="12" t="str"/>
      <x:c r="BP377" s="12" t="str"/>
      <x:c r="BQ377" s="12" t="str"/>
    </x:row>
    <x:row r="378">
      <x:c r="A378" s="9" t="str">
        <x:v>saturn-57</x:v>
      </x:c>
      <x:c r="B378" s="9" t="str">
        <x:v>panzer-dragoon-saga</x:v>
      </x:c>
      <x:c r="C378" s="9" t="str">
        <x:v>Sega Saturn</x:v>
      </x:c>
      <x:c r="D378" s="9" t="str">
        <x:v>Panzer Dragoon Saga</x:v>
      </x:c>
      <x:c r="E378" s="9" t="str">
        <x:v>Azel: Panzer Dragoon RPG (アゼル -パンツァードラグーン RPG-) (JP)</x:v>
      </x:c>
      <x:c r="F378" s="9" t="str">
        <x:v>Team Andromeda (Sega)</x:v>
      </x:c>
      <x:c r="G378" s="9" t="str">
        <x:v>Sega</x:v>
      </x:c>
      <x:c r="H378" s="9" t="n">
        <x:v>1998</x:v>
      </x:c>
      <x:c r="I378" s="9" t="str">
        <x:v>Yes</x:v>
      </x:c>
      <x:c r="J378" s="9" t="str">
        <x:v>Yes</x:v>
      </x:c>
      <x:c r="K378" s="9" t="str">
        <x:v>Yes</x:v>
      </x:c>
      <x:c r="L378" s="9" t="str">
        <x:v>No</x:v>
      </x:c>
      <x:c r="M378" s="9" t="str">
        <x:v>RPG</x:v>
      </x:c>
      <x:c r="N378" s="9" t="str">
        <x:v>Pre-rendered CG</x:v>
      </x:c>
      <x:c r="O378" s="9" t="n">
        <x:v>2</x:v>
      </x:c>
      <x:c r="P378" s="9" t="str">
        <x:v>Cutscenes only</x:v>
      </x:c>
      <x:c r="Q378" s="9" t="str">
        <x:v>Released</x:v>
      </x:c>
      <x:c r="R378" s="9" t="str">
        <x:v>Original production; third Panzer Dragoon game</x:v>
      </x:c>
      <x:c r="S378" s="9" t="str">
        <x:v>None (Saturn exclusive)</x:v>
      </x:c>
      <x:c r="T378" s="9" t="str">
        <x:v>Japanese voices: Akira Ishida (Edge), Maaya Sakamoto (Azel), Chikao Ohtsuka (Emperor)</x:v>
      </x:c>
      <x:c r="U378" s="9" t="n">
        <x:v>4</x:v>
      </x:c>
      <x:c r="V378" s="9" t="str">
        <x:v>Yes</x:v>
      </x:c>
      <x:c r="W378" s="9" t="str">
        <x:v>Standard control pad</x:v>
      </x:c>
      <x:c r="X378" s="9" t="str">
        <x:v>Low</x:v>
      </x:c>
      <x:c r="Y378" s="9" t="str"/>
      <x:c r="Z378" s="9" t="str">
        <x:v>15–20 hr</x:v>
      </x:c>
      <x:c r="AA378" s="9" t="str">
        <x:v>The holy grail of Saturn collecting: four discs of dragon-flight RPG whose source code was lost, so it has never been re-released.</x:v>
      </x:c>
      <x:c r="AB378" s="9" t="str">
        <x:v>Pandora's Box debug/extras menu, unlocked in late-game play (verify conditions)</x:v>
      </x:c>
      <x:c r="AC378" s="9" t="str">
        <x:v>Pre-rendered CG FMV cutscenes (full-screen letterboxed, verify), mixed with many real-time in-engine cutscenes</x:v>
      </x:c>
      <x:c r="AD378" s="9" t="str">
        <x:v>Moderate; the real-time positional battle system is easy to learn</x:v>
      </x:c>
      <x:c r="AE378" s="9" t="str">
        <x:v>Single ending</x:v>
      </x:c>
      <x:c r="AF378" s="9" t="str">
        <x:v>Sega published only a few thousand copies in the West. It was the highest-rated Saturn game on GameRankings. Its source code is said to be lost, which has blocked any port.</x:v>
      </x:c>
      <x:c r="AG378" s="9" t="str">
        <x:v>JP Azel; NA and PAL Panzer Dragoon Saga (4-disc case)</x:v>
      </x:c>
      <x:c r="AH378" s="9" t="str">
        <x:v>No</x:v>
      </x:c>
      <x:c r="AI378" s="9" t="str">
        <x:v>Expensive</x:v>
      </x:c>
      <x:c r="AJ378" s="9"/>
      <x:c r="AK378" s="9" t="str">
        <x:v>Fully voiced in Japanese with subtitles in all regions. Most storytelling is real-time, with pre-rendered CG for key scenes. Released JP January 1998, West April 1998.</x:v>
      </x:c>
      <x:c r="AL378" s="10" t="n">
        <x:v>842.16</x:v>
      </x:c>
      <x:c r="AM378" s="10" t="n">
        <x:v>1217.41</x:v>
      </x:c>
      <x:c r="AN378" s="10" t="n">
        <x:v>2070</x:v>
      </x:c>
      <x:c r="AO378" s="9" t="str">
        <x:v>2026-10-21</x:v>
      </x:c>
      <x:c r="AP378" s="11" t="str">
        <x:f>HYPERLINK("https://www.pricecharting.com/game/sega-saturn/panzer-dragoon-saga","PriceCharting")</x:f>
        <x:v>PriceCharting</x:v>
      </x:c>
      <x:c r="AQ378" s="9"/>
      <x:c r="AR378" s="9"/>
      <x:c r="AS378" s="9"/>
      <x:c r="AT378" s="9"/>
      <x:c r="AU378" s="9"/>
      <x:c r="AV378" s="9"/>
      <x:c r="AW378" s="9"/>
      <x:c r="AX378" s="9"/>
      <x:c r="AY378" s="9"/>
      <x:c r="AZ378" s="9"/>
      <x:c r="BA378" s="11" t="str">
        <x:f>HYPERLINK("https://www.mobygames.com/search/?q=Panzer+Dragoon+Saga","MobyGames")</x:f>
        <x:v>MobyGames</x:v>
      </x:c>
      <x:c r="BB378" s="9" t="str">
        <x:v>92%</x:v>
      </x:c>
      <x:c r="BC378" s="9" t="str">
        <x:v>GameRankings, 7 reviews</x:v>
      </x:c>
      <x:c r="BD378" s="9" t="str">
        <x:f>HYPERLINK("https://web.archive.org/web/20191209012907id_/https://www.gamerankings.com/saturn/198258-panzer-dragoon-saga/index.html","Source")</x:f>
        <x:v>Source</x:v>
      </x:c>
      <x:c r="BE378" s="11" t="str">
        <x:f>HYPERLINK("https://en.wikipedia.org/wiki/Panzer_Dragoon_Saga","Wikipedia")</x:f>
        <x:v>Wikipedia</x:v>
      </x:c>
      <x:c r="BF378" s="11" t="str">
        <x:f>HYPERLINK("https://backloggd.com/search/games/Panzer%20Dragoon%20Saga/","Backloggd")</x:f>
        <x:v>Backloggd</x:v>
      </x:c>
      <x:c r="BG378" s="11" t="str">
        <x:f>HYPERLINK("https://segaretro.org/Panzer_Dragoon_Saga","Sega Retro")</x:f>
        <x:v>Sega Retro</x:v>
      </x:c>
      <x:c r="BH378" s="9"/>
      <x:c r="BI378" s="12" t="str">
        <x:v>No</x:v>
      </x:c>
      <x:c r="BJ378" s="12" t="str"/>
      <x:c r="BK378" s="12" t="str">
        <x:v>No</x:v>
      </x:c>
      <x:c r="BL378" s="12" t="str"/>
      <x:c r="BM378" s="12" t="str"/>
      <x:c r="BN378" s="12" t="str"/>
      <x:c r="BO378" s="12" t="str"/>
      <x:c r="BP378" s="12" t="str"/>
      <x:c r="BQ378" s="12" t="str"/>
    </x:row>
    <x:row r="379">
      <x:c r="A379" s="9" t="str">
        <x:v>saturn-58</x:v>
      </x:c>
      <x:c r="B379" s="9" t="str">
        <x:v>mega-man-8</x:v>
      </x:c>
      <x:c r="C379" s="9" t="str">
        <x:v>Sega Saturn</x:v>
      </x:c>
      <x:c r="D379" s="9" t="str">
        <x:v>Mega Man 8</x:v>
      </x:c>
      <x:c r="E379" s="9" t="str">
        <x:v>Rockman 8: Metal Heroes (ロックマン8 メタルヒーローズ) (JP)</x:v>
      </x:c>
      <x:c r="F379" s="9" t="str">
        <x:v>Capcom</x:v>
      </x:c>
      <x:c r="G379" s="9" t="str">
        <x:v>Capcom (NA/JP)</x:v>
      </x:c>
      <x:c r="H379" s="9" t="n">
        <x:v>1997</x:v>
      </x:c>
      <x:c r="I379" s="9" t="str">
        <x:v>Yes</x:v>
      </x:c>
      <x:c r="J379" s="9" t="str">
        <x:v>Yes</x:v>
      </x:c>
      <x:c r="K379" s="9" t="str">
        <x:v>No</x:v>
      </x:c>
      <x:c r="L379" s="9" t="str">
        <x:v>No</x:v>
      </x:c>
      <x:c r="M379" s="9" t="str">
        <x:v>Action platformer</x:v>
      </x:c>
      <x:c r="N379" s="9" t="str">
        <x:v>Animated</x:v>
      </x:c>
      <x:c r="O379" s="9" t="n">
        <x:v>2</x:v>
      </x:c>
      <x:c r="P379" s="9" t="str">
        <x:v>Cutscenes only</x:v>
      </x:c>
      <x:c r="Q379" s="9" t="str">
        <x:v>Released</x:v>
      </x:c>
      <x:c r="R379" s="9" t="str">
        <x:v>Original production; also on PlayStation</x:v>
      </x:c>
      <x:c r="S379" s="9" t="str">
        <x:v>PlayStation; PS version in Mega Man Legacy Collection 2 (PS4, Xbox One, Switch, PC)</x:v>
      </x:c>
      <x:c r="T379" s="9" t="str">
        <x:v>English dub voice cast (uncredited/verify); widely mocked for 'Dr. Wily' pronounced 'Dr. Wahwee'</x:v>
      </x:c>
      <x:c r="U379" s="9" t="n">
        <x:v>1</x:v>
      </x:c>
      <x:c r="V379" s="9" t="str">
        <x:v>Yes (verify)</x:v>
      </x:c>
      <x:c r="W379" s="9" t="str">
        <x:v>Standard control pad</x:v>
      </x:c>
      <x:c r="X379" s="9" t="str">
        <x:v>Low</x:v>
      </x:c>
      <x:c r="Y379" s="9" t="str"/>
      <x:c r="Z379" s="9" t="str">
        <x:v>2–3 hr</x:v>
      </x:c>
      <x:c r="AA379" s="9" t="str">
        <x:v>The Saturn version of Mega Man 8 has anime cutscenes, one of gaming's most infamous English dubs, and extra Cut Man and Wood Man boss fights the PS version lacks.</x:v>
      </x:c>
      <x:c r="AB379" s="9" t="str">
        <x:v>None known</x:v>
      </x:c>
      <x:c r="AC379" s="9" t="str">
        <x:v>Animated FMV cutscenes by Xebec; small window</x:v>
      </x:c>
      <x:c r="AD379" s="9" t="str">
        <x:v>Moderate; easier than the NES entries</x:v>
      </x:c>
      <x:c r="AE379" s="9" t="str">
        <x:v>Single ending</x:v>
      </x:c>
      <x:c r="AF379" s="9" t="str">
        <x:v>Saturn exclusives: extra bosses Cut Man and Wood Man, a gallery of official and fan art, sound tests, a hidden cutscene viewer and a different Tengu Man stage theme.</x:v>
      </x:c>
      <x:c r="AG379" s="9" t="str">
        <x:v>JP Rockman 8 Metal Heroes (17 Jan 1997; later Satakore reprint); NA Mega Man 8 (March 1997). No PAL Saturn release</x:v>
      </x:c>
      <x:c r="AH379" s="9" t="str">
        <x:v>No (Saturn version); PS version in Mega Man Legacy Collection 2</x:v>
      </x:c>
      <x:c r="AI379" s="9" t="str">
        <x:v>Expensive</x:v>
      </x:c>
      <x:c r="AJ379" s="9"/>
      <x:c r="AK379" s="9" t="str">
        <x:v>Wikipedia: localised for PS alone in PAL regions, so no PAL Saturn release. MobyGames Saturn scores not visible.</x:v>
      </x:c>
      <x:c r="AL379" s="10" t="n">
        <x:v>179.25</x:v>
      </x:c>
      <x:c r="AM379" s="10" t="n">
        <x:v>627.83</x:v>
      </x:c>
      <x:c r="AN379" s="10" t="n">
        <x:v>1067</x:v>
      </x:c>
      <x:c r="AO379" s="9" t="str">
        <x:v>2026-10-21</x:v>
      </x:c>
      <x:c r="AP379" s="11" t="str">
        <x:f>HYPERLINK("https://www.pricecharting.com/game/sega-saturn/mega-man-8","PriceCharting")</x:f>
        <x:v>PriceCharting</x:v>
      </x:c>
      <x:c r="AQ379" s="9"/>
      <x:c r="AR379" s="9"/>
      <x:c r="AS379" s="9"/>
      <x:c r="AT379" s="9"/>
      <x:c r="AU379" s="9"/>
      <x:c r="AV379" s="9"/>
      <x:c r="AW379" s="9"/>
      <x:c r="AX379" s="9"/>
      <x:c r="AY379" s="9"/>
      <x:c r="AZ379" s="9"/>
      <x:c r="BA379" s="11" t="str">
        <x:f>HYPERLINK("https://www.mobygames.com/search/?q=Mega+Man+8","MobyGames")</x:f>
        <x:v>MobyGames</x:v>
      </x:c>
      <x:c r="BB379" s="9" t="str">
        <x:v>76%</x:v>
      </x:c>
      <x:c r="BC379" s="9" t="str">
        <x:v>GameRankings, 4 reviews</x:v>
      </x:c>
      <x:c r="BD379" s="9" t="str">
        <x:f>HYPERLINK("https://web.archive.org/web/20191209011548id_/https://www.gamerankings.com/saturn/197894-mega-man-8/","Source")</x:f>
        <x:v>Source</x:v>
      </x:c>
      <x:c r="BE379" s="11" t="str">
        <x:f>HYPERLINK("https://en.wikipedia.org/wiki/Mega_Man_8","Wikipedia")</x:f>
        <x:v>Wikipedia</x:v>
      </x:c>
      <x:c r="BF379" s="11" t="str">
        <x:f>HYPERLINK("https://backloggd.com/search/games/Mega%20Man%208/","Backloggd")</x:f>
        <x:v>Backloggd</x:v>
      </x:c>
      <x:c r="BG379" s="11" t="str">
        <x:f>HYPERLINK("https://segaretro.org/Mega_Man_8","Sega Retro")</x:f>
        <x:v>Sega Retro</x:v>
      </x:c>
      <x:c r="BH379" s="9"/>
      <x:c r="BI379" s="12" t="str">
        <x:v>No</x:v>
      </x:c>
      <x:c r="BJ379" s="12" t="str"/>
      <x:c r="BK379" s="12" t="str">
        <x:v>No</x:v>
      </x:c>
      <x:c r="BL379" s="12" t="str"/>
      <x:c r="BM379" s="12" t="str"/>
      <x:c r="BN379" s="12" t="str"/>
      <x:c r="BO379" s="12" t="str"/>
      <x:c r="BP379" s="12" t="str"/>
      <x:c r="BQ379" s="12" t="str"/>
    </x:row>
    <x:row r="380">
      <x:c r="A380" s="9" t="str">
        <x:v>saturn-59</x:v>
      </x:c>
      <x:c r="B380" s="9" t="str">
        <x:v>mega-man-x4</x:v>
      </x:c>
      <x:c r="C380" s="9" t="str">
        <x:v>Sega Saturn</x:v>
      </x:c>
      <x:c r="D380" s="9" t="str">
        <x:v>Mega Man X4</x:v>
      </x:c>
      <x:c r="E380" s="9" t="str">
        <x:v>Rockman X4 (ロックマンX4) (JP)</x:v>
      </x:c>
      <x:c r="F380" s="9" t="str">
        <x:v>Capcom</x:v>
      </x:c>
      <x:c r="G380" s="9" t="str">
        <x:v>Capcom (NA/JP)</x:v>
      </x:c>
      <x:c r="H380" s="9" t="n">
        <x:v>1997</x:v>
      </x:c>
      <x:c r="I380" s="9" t="str">
        <x:v>Yes</x:v>
      </x:c>
      <x:c r="J380" s="9" t="str">
        <x:v>Yes</x:v>
      </x:c>
      <x:c r="K380" s="9" t="str">
        <x:v>No</x:v>
      </x:c>
      <x:c r="L380" s="9" t="str">
        <x:v>No</x:v>
      </x:c>
      <x:c r="M380" s="9" t="str">
        <x:v>Action platformer</x:v>
      </x:c>
      <x:c r="N380" s="9" t="str">
        <x:v>Animated</x:v>
      </x:c>
      <x:c r="O380" s="9" t="n">
        <x:v>2</x:v>
      </x:c>
      <x:c r="P380" s="9" t="str">
        <x:v>Cutscenes only</x:v>
      </x:c>
      <x:c r="Q380" s="9" t="str">
        <x:v>Released</x:v>
      </x:c>
      <x:c r="R380" s="9" t="str">
        <x:v>Original production; also on PlayStation</x:v>
      </x:c>
      <x:c r="S380" s="9" t="str">
        <x:v>PlayStation, Windows; in Mega Man X Legacy Collection 2 (PS4, Xbox One, Switch, PC)</x:v>
      </x:c>
      <x:c r="T380" s="9" t="str">
        <x:v>English dub voice cast (verify)</x:v>
      </x:c>
      <x:c r="U380" s="9" t="n">
        <x:v>1</x:v>
      </x:c>
      <x:c r="V380" s="9" t="str">
        <x:v>Yes (verify)</x:v>
      </x:c>
      <x:c r="W380" s="9" t="str">
        <x:v>Standard control pad</x:v>
      </x:c>
      <x:c r="X380" s="9" t="str">
        <x:v>Low–Med</x:v>
      </x:c>
      <x:c r="Y380" s="9" t="str">
        <x:v>JP theme songs by Yukie Nakama ('Makenai Ai ga Kitto aru', 'One More Chance')</x:v>
      </x:c>
      <x:c r="Z380" s="9" t="str">
        <x:v>2–4 hr per character</x:v>
      </x:c>
      <x:c r="AA380" s="9" t="str">
        <x:v>Mega Man X4 has a dual X/Zero campaign with anime cutscenes, and on Saturn they are crunchier and slower to load than on PlayStation.</x:v>
      </x:c>
      <x:c r="AB380" s="9" t="str">
        <x:v>None known</x:v>
      </x:c>
      <x:c r="AC380" s="9" t="str">
        <x:v>Animated FMV cutscenes by Xebec; Saturn's are lower quality than the PS versions</x:v>
      </x:c>
      <x:c r="AD380" s="9" t="str">
        <x:v>Moderate</x:v>
      </x:c>
      <x:c r="AE380" s="9" t="str">
        <x:v>Separate endings for X and Zero</x:v>
      </x:c>
      <x:c r="AF380" s="9" t="str">
        <x:v>X4 began as a Saturn exclusive slated for June 1997 before going multi-platform. Capcom's European distributor Virgin declined to release the Saturn version.</x:v>
      </x:c>
      <x:c r="AG380" s="9" t="str">
        <x:v>JP Rockman X4 (1 August 1997; Special Limited Pack with Ultimate Armor X figure); NA Saturn early August 1997. No PAL Saturn release</x:v>
      </x:c>
      <x:c r="AH380" s="9" t="str">
        <x:v>No (Saturn version); PS version in Mega Man X Legacy Collection 2</x:v>
      </x:c>
      <x:c r="AI380" s="9" t="str">
        <x:v>Expensive</x:v>
      </x:c>
      <x:c r="AJ380" s="9"/>
      <x:c r="AK380" s="9" t="str">
        <x:v>Wikipedia: Europe got only the PS version (13 Oct 1997), so eu is false. MobyGames Saturn scores not visible.</x:v>
      </x:c>
      <x:c r="AL380" s="10" t="n">
        <x:v>118.5</x:v>
      </x:c>
      <x:c r="AM380" s="10" t="n">
        <x:v>403.03</x:v>
      </x:c>
      <x:c r="AN380" s="10" t="n">
        <x:v>685</x:v>
      </x:c>
      <x:c r="AO380" s="9" t="str">
        <x:v>2026-10-21</x:v>
      </x:c>
      <x:c r="AP380" s="11" t="str">
        <x:f>HYPERLINK("https://www.pricecharting.com/game/sega-saturn/mega-man-x4","PriceCharting")</x:f>
        <x:v>PriceCharting</x:v>
      </x:c>
      <x:c r="AQ380" s="9"/>
      <x:c r="AR380" s="9"/>
      <x:c r="AS380" s="9"/>
      <x:c r="AT380" s="9"/>
      <x:c r="AU380" s="9"/>
      <x:c r="AV380" s="9"/>
      <x:c r="AW380" s="9"/>
      <x:c r="AX380" s="9"/>
      <x:c r="AY380" s="9"/>
      <x:c r="AZ380" s="9" t="str">
        <x:v>3.5</x:v>
      </x:c>
      <x:c r="BA380" s="11" t="str">
        <x:f>HYPERLINK("https://www.mobygames.com/search/?q=Mega+Man+X4","MobyGames")</x:f>
        <x:v>MobyGames</x:v>
      </x:c>
      <x:c r="BB380" s="9" t="str">
        <x:v>81%</x:v>
      </x:c>
      <x:c r="BC380" s="9" t="str">
        <x:v>average of 6 reviews on Wikipedia (EGM, GSpot, GameFan, GamePro, Saturn Power, Sega Saturn Magazine)</x:v>
      </x:c>
      <x:c r="BD380" s="9" t="str">
        <x:f>HYPERLINK("https://en.wikipedia.org/wiki/Mega_Man_X4","Source")</x:f>
        <x:v>Source</x:v>
      </x:c>
      <x:c r="BE380" s="11" t="str">
        <x:f>HYPERLINK("https://en.wikipedia.org/wiki/Mega_Man_X4","Wikipedia")</x:f>
        <x:v>Wikipedia</x:v>
      </x:c>
      <x:c r="BF380" s="11" t="str">
        <x:f>HYPERLINK("https://backloggd.com/search/games/Mega%20Man%20X4/","Backloggd")</x:f>
        <x:v>Backloggd</x:v>
      </x:c>
      <x:c r="BG380" s="11" t="str">
        <x:f>HYPERLINK("https://segaretro.org/Mega_Man_X4","Sega Retro")</x:f>
        <x:v>Sega Retro</x:v>
      </x:c>
      <x:c r="BH380" s="9"/>
      <x:c r="BI380" s="12" t="str">
        <x:v>No</x:v>
      </x:c>
      <x:c r="BJ380" s="12" t="str"/>
      <x:c r="BK380" s="12" t="str">
        <x:v>No</x:v>
      </x:c>
      <x:c r="BL380" s="12" t="str"/>
      <x:c r="BM380" s="12" t="str"/>
      <x:c r="BN380" s="12" t="str"/>
      <x:c r="BO380" s="12" t="str"/>
      <x:c r="BP380" s="12" t="str"/>
      <x:c r="BQ380" s="12" t="str"/>
    </x:row>
    <x:row r="381">
      <x:c r="A381" s="9" t="str">
        <x:v>saturn-60</x:v>
      </x:c>
      <x:c r="B381" s="9" t="str">
        <x:v>mega-man-x3</x:v>
      </x:c>
      <x:c r="C381" s="9" t="str">
        <x:v>Sega Saturn</x:v>
      </x:c>
      <x:c r="D381" s="9" t="str">
        <x:v>Mega Man X3</x:v>
      </x:c>
      <x:c r="E381" s="9" t="str">
        <x:v>Rockman X3 (ロックマンX3) (JP)</x:v>
      </x:c>
      <x:c r="F381" s="9" t="str">
        <x:v>Capcom (SNES original by Minakuchi Engineering)</x:v>
      </x:c>
      <x:c r="G381" s="9" t="str">
        <x:v>Capcom (JP); Virgin Interactive (EU)</x:v>
      </x:c>
      <x:c r="H381" s="9" t="n">
        <x:v>1996</x:v>
      </x:c>
      <x:c r="I381" s="9" t="str">
        <x:v>No</x:v>
      </x:c>
      <x:c r="J381" s="9" t="str">
        <x:v>Yes</x:v>
      </x:c>
      <x:c r="K381" s="9" t="str">
        <x:v>Yes</x:v>
      </x:c>
      <x:c r="L381" s="9" t="str">
        <x:v>No</x:v>
      </x:c>
      <x:c r="M381" s="9" t="str">
        <x:v>Action platformer</x:v>
      </x:c>
      <x:c r="N381" s="9" t="str">
        <x:v>Animated</x:v>
      </x:c>
      <x:c r="O381" s="9" t="n">
        <x:v>2</x:v>
      </x:c>
      <x:c r="P381" s="9" t="str">
        <x:v>Cutscenes only</x:v>
      </x:c>
      <x:c r="Q381" s="9" t="str">
        <x:v>Released</x:v>
      </x:c>
      <x:c r="R381" s="9" t="str">
        <x:v>Port of the 1995 SNES game with added anime cutscenes and arranged CD music</x:v>
      </x:c>
      <x:c r="S381" s="9" t="str">
        <x:v>SNES, PlayStation (JP/EU), Windows; SNES version in Mega Man X Legacy Collection</x:v>
      </x:c>
      <x:c r="T381" s="9" t="str">
        <x:v>—</x:v>
      </x:c>
      <x:c r="U381" s="9" t="n">
        <x:v>1</x:v>
      </x:c>
      <x:c r="V381" s="9" t="str">
        <x:v>Yes (verify)</x:v>
      </x:c>
      <x:c r="W381" s="9" t="str">
        <x:v>Standard control pad</x:v>
      </x:c>
      <x:c r="X381" s="9" t="str">
        <x:v>Low</x:v>
      </x:c>
      <x:c r="Y381" s="9" t="str"/>
      <x:c r="Z381" s="9" t="str">
        <x:v>2–3 hr</x:v>
      </x:c>
      <x:c r="AA381" s="9" t="str">
        <x:v>The CD version of Mega Man X3 adds anime cutscenes and a remixed CD soundtrack, and it never came out in North America.</x:v>
      </x:c>
      <x:c r="AB381" s="9" t="str">
        <x:v>None known</x:v>
      </x:c>
      <x:c r="AC381" s="9" t="str">
        <x:v>Animated FMV cutscenes added for the CD versions; small window (verify)</x:v>
      </x:c>
      <x:c r="AD381" s="9" t="str">
        <x:v>Moderate</x:v>
      </x:c>
      <x:c r="AE381" s="9" t="str">
        <x:v>Ending varies slightly depending on whether Zero survives (verify)</x:v>
      </x:c>
      <x:c r="AF381" s="9" t="str">
        <x:v>Capcom said it would license the 32-bit version to a US company, but it never came out in North America. Saturn Power named it the worst Saturn game.</x:v>
      </x:c>
      <x:c r="AG381" s="9" t="str">
        <x:v>JP Rockman X3 (26 April 1996); PAL Mega Man X3 (March 1997). Never released in NA</x:v>
      </x:c>
      <x:c r="AH381" s="9" t="str">
        <x:v>No (CD version); the SNES version is in Mega Man X Legacy Collection</x:v>
      </x:c>
      <x:c r="AI381" s="9" t="str">
        <x:v>Import</x:v>
      </x:c>
      <x:c r="AJ381" s="9"/>
      <x:c r="AK381" s="9" t="str">
        <x:v>JP/EU only. EU publisher unconfirmed. No US PriceCharting page; priced from the JP Saturn page (Rockman X3).</x:v>
      </x:c>
      <x:c r="AL381" s="10" t="n">
        <x:v>44.99</x:v>
      </x:c>
      <x:c r="AM381" s="10" t="n">
        <x:v>45.55</x:v>
      </x:c>
      <x:c r="AN381" s="10" t="n">
        <x:v>77</x:v>
      </x:c>
      <x:c r="AO381" s="9" t="str">
        <x:v>2026-10-21</x:v>
      </x:c>
      <x:c r="AP381" s="11" t="str">
        <x:f>HYPERLINK("https://www.pricecharting.com/game/jp-sega-saturn/rockman-x3","PriceCharting")</x:f>
        <x:v>PriceCharting</x:v>
      </x:c>
      <x:c r="AQ381" s="9"/>
      <x:c r="AR381" s="9"/>
      <x:c r="AS381" s="9"/>
      <x:c r="AT381" s="9"/>
      <x:c r="AU381" s="9"/>
      <x:c r="AV381" s="9"/>
      <x:c r="AW381" s="9"/>
      <x:c r="AX381" s="9"/>
      <x:c r="AY381" s="9"/>
      <x:c r="AZ381" s="9" t="str">
        <x:v>3.9</x:v>
      </x:c>
      <x:c r="BA381" s="11" t="str">
        <x:f>HYPERLINK("https://www.mobygames.com/search/?q=Mega+Man+X3","MobyGames")</x:f>
        <x:v>MobyGames</x:v>
      </x:c>
      <x:c r="BB381" s="9" t="str">
        <x:v>56%</x:v>
      </x:c>
      <x:c r="BC381" s="9" t="str">
        <x:v>average of 4 reviews on Wikipedia (Fam, GameFan, Saturn Power, Sega Saturn Magazine)</x:v>
      </x:c>
      <x:c r="BD381" s="9" t="str">
        <x:f>HYPERLINK("https://en.wikipedia.org/wiki/Mega_Man_X3","Source")</x:f>
        <x:v>Source</x:v>
      </x:c>
      <x:c r="BE381" s="11" t="str">
        <x:f>HYPERLINK("https://en.wikipedia.org/wiki/Mega_Man_X3","Wikipedia")</x:f>
        <x:v>Wikipedia</x:v>
      </x:c>
      <x:c r="BF381" s="11" t="str">
        <x:f>HYPERLINK("https://backloggd.com/search/games/Mega%20Man%20X3/","Backloggd")</x:f>
        <x:v>Backloggd</x:v>
      </x:c>
      <x:c r="BG381" s="11" t="str">
        <x:f>HYPERLINK("https://segaretro.org/Mega_Man_X3","Sega Retro")</x:f>
        <x:v>Sega Retro</x:v>
      </x:c>
      <x:c r="BH381" s="9"/>
      <x:c r="BI381" s="12" t="str">
        <x:v>No</x:v>
      </x:c>
      <x:c r="BJ381" s="12" t="str"/>
      <x:c r="BK381" s="12" t="str">
        <x:v>No</x:v>
      </x:c>
      <x:c r="BL381" s="12" t="str"/>
      <x:c r="BM381" s="12" t="str"/>
      <x:c r="BN381" s="12" t="str"/>
      <x:c r="BO381" s="12" t="str"/>
      <x:c r="BP381" s="12" t="str"/>
      <x:c r="BQ381" s="12" t="str"/>
    </x:row>
    <x:row r="382">
      <x:c r="A382" s="9" t="str">
        <x:v>saturn-61</x:v>
      </x:c>
      <x:c r="B382" s="9" t="str">
        <x:v>lunar-2-eternal-blue</x:v>
      </x:c>
      <x:c r="C382" s="9" t="str">
        <x:v>Sega Saturn</x:v>
      </x:c>
      <x:c r="D382" s="9" t="str">
        <x:v>Lunar 2: Eternal Blue</x:v>
      </x:c>
      <x:c r="E382" s="9" t="str">
        <x:v>Lunar 2: Eternal Blue (LUNAR2 エターナルブルー) (JP Saturn); remake of Lunar: Eternal Blue (Mega-CD); PS version localised as Lunar 2: Eternal Blue Complete</x:v>
      </x:c>
      <x:c r="F382" s="9" t="str">
        <x:v>Game Arts (with Japan Art Media — verify)</x:v>
      </x:c>
      <x:c r="G382" s="9" t="str">
        <x:v>Kadokawa Shoten (JP)</x:v>
      </x:c>
      <x:c r="H382" s="9" t="n">
        <x:v>1998</x:v>
      </x:c>
      <x:c r="I382" s="9" t="str">
        <x:v>No</x:v>
      </x:c>
      <x:c r="J382" s="9" t="str">
        <x:v>Yes</x:v>
      </x:c>
      <x:c r="K382" s="9" t="str">
        <x:v>No</x:v>
      </x:c>
      <x:c r="L382" s="9" t="str">
        <x:v>No</x:v>
      </x:c>
      <x:c r="M382" s="9" t="str">
        <x:v>RPG</x:v>
      </x:c>
      <x:c r="N382" s="9" t="str">
        <x:v>Animated</x:v>
      </x:c>
      <x:c r="O382" s="9" t="n">
        <x:v>3</x:v>
      </x:c>
      <x:c r="P382" s="9" t="str">
        <x:v>Cutscenes only</x:v>
      </x:c>
      <x:c r="Q382" s="9" t="str">
        <x:v>Released</x:v>
      </x:c>
      <x:c r="R382" s="9" t="str">
        <x:v>Remake of the 1994 Mega-CD/Sega CD Lunar: Eternal Blue</x:v>
      </x:c>
      <x:c r="S382" s="9" t="str">
        <x:v>PlayStation (JP 1999; NA 2000 by Working Designs as Lunar 2: Eternal Blue Complete); Sega CD original</x:v>
      </x:c>
      <x:c r="T382" s="9" t="str">
        <x:v>Japanese voice cast incl. Hikaru Midorikawa (Hiro) (verify)</x:v>
      </x:c>
      <x:c r="U382" s="9" t="n">
        <x:v>2</x:v>
      </x:c>
      <x:c r="V382" s="9" t="str">
        <x:v>Yes</x:v>
      </x:c>
      <x:c r="W382" s="9" t="str">
        <x:v>Standard control pad</x:v>
      </x:c>
      <x:c r="X382" s="9" t="str">
        <x:v>Low</x:v>
      </x:c>
      <x:c r="Y382" s="9" t="str"/>
      <x:c r="Z382" s="9" t="str">
        <x:v>30–40 hr</x:v>
      </x:c>
      <x:c r="AA382" s="9" t="str">
        <x:v>Lunar 2 on Saturn is the first release of the Eternal Blue remake, with roughly an hour of new anime cutscenes, and it came out a year before the PlayStation version.</x:v>
      </x:c>
      <x:c r="AB382" s="9" t="str">
        <x:v>None known</x:v>
      </x:c>
      <x:c r="AC382" s="9" t="str">
        <x:v>Animated FMV cutscenes (new anime produced for the remake, reportedly by Studio Gonzo, verify)</x:v>
      </x:c>
      <x:c r="AD382" s="9" t="str">
        <x:v>Moderate; easier than the Sega CD original</x:v>
      </x:c>
      <x:c r="AE382" s="9" t="str">
        <x:v>Single ending; epilogue content after the ending</x:v>
      </x:c>
      <x:c r="AF382" s="9" t="str">
        <x:v>Released on Saturn in Japan on 23 July 1998; only the later PlayStation version (Complete) was localised, by Working Designs.</x:v>
      </x:c>
      <x:c r="AG382" s="9" t="str">
        <x:v>Standard edition (2 CDs); limited edition — verify. The PS version (May 1999) was on 3 discs</x:v>
      </x:c>
      <x:c r="AH382" s="9" t="str">
        <x:v>No</x:v>
      </x:c>
      <x:c r="AI382" s="9" t="str">
        <x:v>Import</x:v>
      </x:c>
      <x:c r="AJ382" s="9"/>
      <x:c r="AK382" s="9" t="str">
        <x:v>JP-only Saturn release, 23 July 1998, Kadokawa Shoten, two discs (ja Wikipedia). Anime studio for the remake unconfirmed (verify). JP Saturn PriceCharting page not located.</x:v>
      </x:c>
      <x:c r="AL382" s="10" t="n">
        <x:v>19.99</x:v>
      </x:c>
      <x:c r="AM382" s="10" t="n">
        <x:v>22.16</x:v>
      </x:c>
      <x:c r="AN382" s="10" t="n">
        <x:v>57.14</x:v>
      </x:c>
      <x:c r="AO382" s="9" t="str">
        <x:v>2026-10-21</x:v>
      </x:c>
      <x:c r="AP382" s="11" t="str">
        <x:f>HYPERLINK("https://www.pricecharting.com/game/jp-sega-saturn/lunar-2-eternal-blue","PriceCharting")</x:f>
        <x:v>PriceCharting</x:v>
      </x:c>
      <x:c r="AQ382" s="9"/>
      <x:c r="AR382" s="9"/>
      <x:c r="AS382" s="9"/>
      <x:c r="AT382" s="9"/>
      <x:c r="AU382" s="9"/>
      <x:c r="AV382" s="9"/>
      <x:c r="AW382" s="9"/>
      <x:c r="AX382" s="9"/>
      <x:c r="AY382" s="9"/>
      <x:c r="AZ382" s="9"/>
      <x:c r="BA382" s="11" t="str">
        <x:f>HYPERLINK("https://www.mobygames.com/search/?q=Lunar+2%3A+Eternal+Blue","MobyGames")</x:f>
        <x:v>MobyGames</x:v>
      </x:c>
      <x:c r="BB382" s="9" t="str">
        <x:v>80%</x:v>
      </x:c>
      <x:c r="BC382" s="9" t="str">
        <x:v>GameRankings, 3 reviews</x:v>
      </x:c>
      <x:c r="BD382" s="9" t="str">
        <x:f>HYPERLINK("https://web.archive.org/web/20191209015639id_/https://www.gamerankings.com/saturn/574222-lunar-2-eternal-blue/","Source")</x:f>
        <x:v>Source</x:v>
      </x:c>
      <x:c r="BE382" s="11" t="str">
        <x:f>HYPERLINK("https://en.wikipedia.org/wiki/Lunar:_Eternal_Blue","Wikipedia")</x:f>
        <x:v>Wikipedia</x:v>
      </x:c>
      <x:c r="BF382" s="11" t="str">
        <x:f>HYPERLINK("https://backloggd.com/search/games/Lunar%202%3A%20Eternal%20Blue/","Backloggd")</x:f>
        <x:v>Backloggd</x:v>
      </x:c>
      <x:c r="BG382" s="11" t="str">
        <x:f>HYPERLINK("https://segaretro.org/Lunar_2_Eternal_Blue","Sega Retro")</x:f>
        <x:v>Sega Retro</x:v>
      </x:c>
      <x:c r="BH382" s="9"/>
      <x:c r="BI382" s="12" t="str">
        <x:v>No</x:v>
      </x:c>
      <x:c r="BJ382" s="12" t="str"/>
      <x:c r="BK382" s="12" t="str">
        <x:v>No</x:v>
      </x:c>
      <x:c r="BL382" s="12" t="str"/>
      <x:c r="BM382" s="12" t="str"/>
      <x:c r="BN382" s="12" t="str"/>
      <x:c r="BO382" s="12" t="str"/>
      <x:c r="BP382" s="12" t="str"/>
      <x:c r="BQ382" s="12" t="str"/>
    </x:row>
    <x:row r="383">
      <x:c r="A383" s="9" t="str">
        <x:v>saturn-62</x:v>
      </x:c>
      <x:c r="B383" s="9" t="str">
        <x:v>pebble-beach-golf-links</x:v>
      </x:c>
      <x:c r="C383" s="9" t="str">
        <x:v>Sega Saturn</x:v>
      </x:c>
      <x:c r="D383" s="9" t="str">
        <x:v>Pebble Beach Golf Links</x:v>
      </x:c>
      <x:c r="E383" s="9" t="str">
        <x:v>Pebble Beach Golf Links: Stadler Challenge (JP)</x:v>
      </x:c>
      <x:c r="F383" s="9" t="str">
        <x:v>T&amp;E Soft</x:v>
      </x:c>
      <x:c r="G383" s="9" t="str">
        <x:v>Sega</x:v>
      </x:c>
      <x:c r="H383" s="9" t="n">
        <x:v>1995</x:v>
      </x:c>
      <x:c r="I383" s="9" t="str">
        <x:v>Yes</x:v>
      </x:c>
      <x:c r="J383" s="9" t="str">
        <x:v>Yes</x:v>
      </x:c>
      <x:c r="K383" s="9" t="str">
        <x:v>Yes</x:v>
      </x:c>
      <x:c r="L383" s="9" t="str">
        <x:v>No</x:v>
      </x:c>
      <x:c r="M383" s="9" t="str">
        <x:v>Golf</x:v>
      </x:c>
      <x:c r="N383" s="9" t="str">
        <x:v>Live-action</x:v>
      </x:c>
      <x:c r="O383" s="9" t="n">
        <x:v>3</x:v>
      </x:c>
      <x:c r="P383" s="9" t="str">
        <x:v>Sports w/ FMV</x:v>
      </x:c>
      <x:c r="Q383" s="9" t="str">
        <x:v>Released</x:v>
      </x:c>
      <x:c r="R383" s="9" t="str">
        <x:v>Port of the 3DO original (T&amp;E Soft/Panasonic, 1994)</x:v>
      </x:c>
      <x:c r="S383" s="9" t="str">
        <x:v>3DO, SNES (True Golf: Pebble Beach / Pebble Beach no Hatou), PC-98, others in the series</x:v>
      </x:c>
      <x:c r="T383" s="9" t="str">
        <x:v>Craig Stadler (video guidance)</x:v>
      </x:c>
      <x:c r="U383" s="9" t="n">
        <x:v>1</x:v>
      </x:c>
      <x:c r="V383" s="9" t="str">
        <x:v>Yes (internal memory) (verify)</x:v>
      </x:c>
      <x:c r="W383" s="9" t="str">
        <x:v>Standard control pad</x:v>
      </x:c>
      <x:c r="X383" s="9" t="str">
        <x:v>Low</x:v>
      </x:c>
      <x:c r="Y383" s="9" t="str"/>
      <x:c r="Z383" s="9" t="str">
        <x:v>1–2 hr per round</x:v>
      </x:c>
      <x:c r="AA383" s="9" t="str">
        <x:v>An early Saturn golf game in which PGA pro Craig Stadler introduces each hole in live-action video.</x:v>
      </x:c>
      <x:c r="AB383" s="9" t="str">
        <x:v>None known</x:v>
      </x:c>
      <x:c r="AC383" s="9" t="str">
        <x:v>Live-action FMV hole intros and tips from Craig Stadler in a small window; Cinepak (verify)</x:v>
      </x:c>
      <x:c r="AD383" s="9" t="str">
        <x:v>Moderate</x:v>
      </x:c>
      <x:c r="AE383" s="9" t="str">
        <x:v>N/A (sports)</x:v>
      </x:c>
      <x:c r="AF383" s="9" t="str">
        <x:v>The 3DO original came first (1994); Sega published the Saturn version in 1995. Up to six players can play as digitised golfers.</x:v>
      </x:c>
      <x:c r="AG383" s="9" t="str">
        <x:v>JP, NA and PAL releases</x:v>
      </x:c>
      <x:c r="AH383" s="9" t="str">
        <x:v>No</x:v>
      </x:c>
      <x:c r="AI383" s="9" t="str">
        <x:v>Easy</x:v>
      </x:c>
      <x:c r="AJ383" s="9"/>
      <x:c r="AK383" s="9" t="str">
        <x:v>Stadler's guidance confirmed by Wikipedia; whether it is streamed video on Saturn and how much is unconfirmed (verify). Next Generation gave the Saturn version 3/5.</x:v>
      </x:c>
      <x:c r="AL383" s="10" t="n">
        <x:v>11.11</x:v>
      </x:c>
      <x:c r="AM383" s="10" t="n">
        <x:v>17.22</x:v>
      </x:c>
      <x:c r="AN383" s="10" t="n">
        <x:v>29</x:v>
      </x:c>
      <x:c r="AO383" s="9" t="str">
        <x:v>2026-10-21</x:v>
      </x:c>
      <x:c r="AP383" s="11" t="str">
        <x:f>HYPERLINK("https://www.pricecharting.com/game/sega-saturn/pebble-beach-golf-links","PriceCharting")</x:f>
        <x:v>PriceCharting</x:v>
      </x:c>
      <x:c r="AQ383" s="9"/>
      <x:c r="AR383" s="9"/>
      <x:c r="AS383" s="9"/>
      <x:c r="AT383" s="9"/>
      <x:c r="AU383" s="9"/>
      <x:c r="AV383" s="9"/>
      <x:c r="AW383" s="9"/>
      <x:c r="AX383" s="9"/>
      <x:c r="AY383" s="9" t="str">
        <x:v>68%</x:v>
      </x:c>
      <x:c r="AZ383" s="9"/>
      <x:c r="BA383" s="11" t="str">
        <x:f>HYPERLINK("https://www.mobygames.com/search/?q=Pebble+Beach+Golf+Links","MobyGames")</x:f>
        <x:v>MobyGames</x:v>
      </x:c>
      <x:c r="BB383" s="9" t="str">
        <x:v>73%</x:v>
      </x:c>
      <x:c r="BC383" s="9" t="str">
        <x:v>average of 14 reviews on Wikipedia (EGM, Electronic Entertainment, Fam, GI, GP, GamePro, Hyper, MAN!AC, NGen, Power Unlimited, Sega MegaZone, Sega Pro, The Electric Playground, VideoGames)</x:v>
      </x:c>
      <x:c r="BD383" s="9" t="str">
        <x:f>HYPERLINK("https://en.wikipedia.org/wiki/Pebble_Beach_Golf_Links_%28video_game%29","Source")</x:f>
        <x:v>Source</x:v>
      </x:c>
      <x:c r="BE383" s="11" t="str">
        <x:f>HYPERLINK("https://en.wikipedia.org/wiki/Pebble_Beach_Golf_Links_(video_game)","Wikipedia")</x:f>
        <x:v>Wikipedia</x:v>
      </x:c>
      <x:c r="BF383" s="11" t="str">
        <x:f>HYPERLINK("https://backloggd.com/search/games/Pebble%20Beach%20Golf%20Links/","Backloggd")</x:f>
        <x:v>Backloggd</x:v>
      </x:c>
      <x:c r="BG383" s="11" t="str">
        <x:f>HYPERLINK("https://segaretro.org/Pebble_Beach_Golf_Links_(Saturn)","Sega Retro")</x:f>
        <x:v>Sega Retro</x:v>
      </x:c>
      <x:c r="BH383" s="9"/>
      <x:c r="BI383" s="12" t="str">
        <x:v>No</x:v>
      </x:c>
      <x:c r="BJ383" s="12" t="str"/>
      <x:c r="BK383" s="12" t="str">
        <x:v>No</x:v>
      </x:c>
      <x:c r="BL383" s="12" t="str"/>
      <x:c r="BM383" s="12" t="str"/>
      <x:c r="BN383" s="12" t="str"/>
      <x:c r="BO383" s="12" t="str"/>
      <x:c r="BP383" s="12" t="str"/>
      <x:c r="BQ383" s="12" t="str"/>
    </x:row>
    <x:row r="384">
      <x:c r="A384" s="9" t="str">
        <x:v>saturn-63</x:v>
      </x:c>
      <x:c r="B384" s="9" t="str">
        <x:v>space-hulk-vengeance-of-the-blood-angels</x:v>
      </x:c>
      <x:c r="C384" s="9" t="str">
        <x:v>Sega Saturn</x:v>
      </x:c>
      <x:c r="D384" s="9" t="str">
        <x:v>Space Hulk: Vengeance of the Blood Angels</x:v>
      </x:c>
      <x:c r="E384" s="9" t="str"/>
      <x:c r="F384" s="9" t="str">
        <x:v>Krisalis Software (Saturn/PlayStation/PC versions; Key Game made the 3DO original)</x:v>
      </x:c>
      <x:c r="G384" s="9" t="str">
        <x:v>Electronic Arts</x:v>
      </x:c>
      <x:c r="H384" s="9" t="n">
        <x:v>1996</x:v>
      </x:c>
      <x:c r="I384" s="9" t="str">
        <x:v>Yes</x:v>
      </x:c>
      <x:c r="J384" s="9" t="str">
        <x:v>No</x:v>
      </x:c>
      <x:c r="K384" s="9" t="str">
        <x:v>Yes</x:v>
      </x:c>
      <x:c r="L384" s="9" t="str">
        <x:v>No</x:v>
      </x:c>
      <x:c r="M384" s="9" t="str">
        <x:v>First-person tactical action</x:v>
      </x:c>
      <x:c r="N384" s="9" t="str">
        <x:v>Live-action + CG</x:v>
      </x:c>
      <x:c r="O384" s="9" t="n">
        <x:v>3</x:v>
      </x:c>
      <x:c r="P384" s="9" t="str">
        <x:v>Cutscenes only</x:v>
      </x:c>
      <x:c r="Q384" s="9" t="str">
        <x:v>Released</x:v>
      </x:c>
      <x:c r="R384" s="9" t="str">
        <x:v>Games Workshop Space Hulk / Warhammer 40,000 licence</x:v>
      </x:c>
      <x:c r="S384" s="9" t="str">
        <x:v>3DO, PlayStation, DOS/Windows</x:v>
      </x:c>
      <x:c r="T384" s="9" t="str">
        <x:v>Unknown — verify</x:v>
      </x:c>
      <x:c r="U384" s="9" t="n">
        <x:v>1</x:v>
      </x:c>
      <x:c r="V384" s="9" t="str">
        <x:v>Yes (verify)</x:v>
      </x:c>
      <x:c r="W384" s="9" t="str">
        <x:v>Standard control pad</x:v>
      </x:c>
      <x:c r="X384" s="9" t="str">
        <x:v>Low</x:v>
      </x:c>
      <x:c r="Y384" s="9" t="str"/>
      <x:c r="Z384" s="9" t="str">
        <x:v>8–12 hr</x:v>
      </x:c>
      <x:c r="AA384" s="9" t="str">
        <x:v>Blood Angels Terminators fight Genestealers through a derelict hulk, with mission briefings in grim live-action and CG video.</x:v>
      </x:c>
      <x:c r="AB384" s="9" t="str">
        <x:v>None known</x:v>
      </x:c>
      <x:c r="AC384" s="9" t="str">
        <x:v>FMV mission briefings and story cutscenes (live-action and CG) in a partial window (verify)</x:v>
      </x:c>
      <x:c r="AD384" s="9" t="str">
        <x:v>Hard; real-time squad orders under pressure</x:v>
      </x:c>
      <x:c r="AE384" s="9" t="str">
        <x:v>Single ending</x:v>
      </x:c>
      <x:c r="AF384" s="9" t="str">
        <x:v>The 3DO version came first (1995) and won 3DO Strategy/Puzzle Game of the Year; Saturn and PS ports followed.</x:v>
      </x:c>
      <x:c r="AG384" s="9" t="str">
        <x:v>NA and PAL (JP release by EA Victor not confirmed, verify)</x:v>
      </x:c>
      <x:c r="AH384" s="9" t="str">
        <x:v>No</x:v>
      </x:c>
      <x:c r="AI384" s="9" t="str">
        <x:v>Easy</x:v>
      </x:c>
      <x:c r="AJ384" s="9"/>
      <x:c r="AK384" s="9" t="str">
        <x:v>Live-action/CG cutscene content is from memory of the 3DO version; Wikipedia does not describe the FMV, so its presence on Saturn is unconfirmed (verify). Sega Saturn Magazine praised the Saturn version.</x:v>
      </x:c>
      <x:c r="AL384" s="10" t="n">
        <x:v>18.99</x:v>
      </x:c>
      <x:c r="AM384" s="10" t="n">
        <x:v>50</x:v>
      </x:c>
      <x:c r="AN384" s="10" t="n">
        <x:v>98</x:v>
      </x:c>
      <x:c r="AO384" s="9" t="str">
        <x:v>2026-10-21</x:v>
      </x:c>
      <x:c r="AP384" s="11" t="str">
        <x:f>HYPERLINK("https://www.pricecharting.com/game/sega-saturn/space-hulk-vengeance-of-the-blood-angels","PriceCharting")</x:f>
        <x:v>PriceCharting</x:v>
      </x:c>
      <x:c r="AQ384" s="9"/>
      <x:c r="AR384" s="9"/>
      <x:c r="AS384" s="9"/>
      <x:c r="AT384" s="9"/>
      <x:c r="AU384" s="9"/>
      <x:c r="AV384" s="9"/>
      <x:c r="AW384" s="9"/>
      <x:c r="AX384" s="9"/>
      <x:c r="AY384" s="9" t="str">
        <x:v>66%</x:v>
      </x:c>
      <x:c r="AZ384" s="9" t="str">
        <x:v>3.8</x:v>
      </x:c>
      <x:c r="BA384" s="11" t="str">
        <x:f>HYPERLINK("https://www.mobygames.com/search/?q=Space+Hulk%3A+Vengeance+of+the+Blood+Angels","MobyGames")</x:f>
        <x:v>MobyGames</x:v>
      </x:c>
      <x:c r="BB384" s="9" t="str">
        <x:v>75%</x:v>
      </x:c>
      <x:c r="BC384" s="9" t="str">
        <x:v>average of 2 reviews on Wikipedia (Allgame, Sega Saturn Magazine)</x:v>
      </x:c>
      <x:c r="BD384" s="9" t="str">
        <x:f>HYPERLINK("https://en.wikipedia.org/wiki/Space_Hulk%3A_Vengeance_of_the_Blood_Angels","Source")</x:f>
        <x:v>Source</x:v>
      </x:c>
      <x:c r="BE384" s="11" t="str">
        <x:f>HYPERLINK("https://en.wikipedia.org/wiki/Space_Hulk:_Vengeance_of_the_Blood_Angels","Wikipedia")</x:f>
        <x:v>Wikipedia</x:v>
      </x:c>
      <x:c r="BF384" s="11" t="str">
        <x:f>HYPERLINK("https://backloggd.com/search/games/Space%20Hulk%3A%20Vengeance%20of%20the%20Blood%20Angels/","Backloggd")</x:f>
        <x:v>Backloggd</x:v>
      </x:c>
      <x:c r="BG384" s="11" t="str">
        <x:f>HYPERLINK("https://segaretro.org/Space_Hulk:_Vengeance_of_the_Blood_Angels","Sega Retro")</x:f>
        <x:v>Sega Retro</x:v>
      </x:c>
      <x:c r="BH384" s="9"/>
      <x:c r="BI384" s="12" t="str">
        <x:v>No</x:v>
      </x:c>
      <x:c r="BJ384" s="12" t="str"/>
      <x:c r="BK384" s="12" t="str">
        <x:v>No</x:v>
      </x:c>
      <x:c r="BL384" s="12" t="str"/>
      <x:c r="BM384" s="12" t="str"/>
      <x:c r="BN384" s="12" t="str"/>
      <x:c r="BO384" s="12" t="str"/>
      <x:c r="BP384" s="12" t="str"/>
      <x:c r="BQ384" s="12" t="str"/>
    </x:row>
    <x:row r="385">
      <x:c r="A385" s="9" t="str">
        <x:v>saturn-64</x:v>
      </x:c>
      <x:c r="B385" s="9" t="str">
        <x:v>defcon-5</x:v>
      </x:c>
      <x:c r="C385" s="9" t="str">
        <x:v>Sega Saturn</x:v>
      </x:c>
      <x:c r="D385" s="9" t="str">
        <x:v>Defcon 5</x:v>
      </x:c>
      <x:c r="E385" s="9" t="str"/>
      <x:c r="F385" s="9" t="str">
        <x:v>Millennium Interactive</x:v>
      </x:c>
      <x:c r="G385" s="9" t="str">
        <x:v>Data East (NA), GT Interactive (PAL)</x:v>
      </x:c>
      <x:c r="H385" s="9" t="n">
        <x:v>1995</x:v>
      </x:c>
      <x:c r="I385" s="9" t="str">
        <x:v>Yes</x:v>
      </x:c>
      <x:c r="J385" s="9" t="str">
        <x:v>No</x:v>
      </x:c>
      <x:c r="K385" s="9" t="str">
        <x:v>Yes</x:v>
      </x:c>
      <x:c r="L385" s="9" t="str">
        <x:v>No</x:v>
      </x:c>
      <x:c r="M385" s="9" t="str">
        <x:v>First-person action / strategy</x:v>
      </x:c>
      <x:c r="N385" s="9" t="str">
        <x:v>Pre-rendered CG</x:v>
      </x:c>
      <x:c r="O385" s="9" t="n">
        <x:v>3</x:v>
      </x:c>
      <x:c r="P385" s="9" t="str">
        <x:v>Pre-rendered CG</x:v>
      </x:c>
      <x:c r="Q385" s="9" t="str">
        <x:v>Released</x:v>
      </x:c>
      <x:c r="R385" s="9" t="str">
        <x:v>Original production (announced as Incoming)</x:v>
      </x:c>
      <x:c r="S385" s="9" t="str">
        <x:v>PlayStation, DOS, 3DO</x:v>
      </x:c>
      <x:c r="T385" s="9" t="str">
        <x:v>—</x:v>
      </x:c>
      <x:c r="U385" s="9" t="n">
        <x:v>1</x:v>
      </x:c>
      <x:c r="V385" s="9" t="str">
        <x:v>Yes (verify)</x:v>
      </x:c>
      <x:c r="W385" s="9" t="str">
        <x:v>Standard control pad</x:v>
      </x:c>
      <x:c r="X385" s="9" t="str">
        <x:v>Low</x:v>
      </x:c>
      <x:c r="Y385" s="9" t="str"/>
      <x:c r="Z385" s="9" t="str">
        <x:v>6–10 hr</x:v>
      </x:c>
      <x:c r="AA385" s="9" t="str">
        <x:v>A slow-burn, System Shock-style base-defence game: survive an alien attack on a deep-space mining base by running turrets, doors and air from VOS terminals.</x:v>
      </x:c>
      <x:c r="AB385" s="9" t="str">
        <x:v>None known</x:v>
      </x:c>
      <x:c r="AC385" s="9" t="str">
        <x:v>Pre-rendered CG FMV intro and cinematic sequences, praised as well animated; whether the LIMO transit sequences are streamed — verify</x:v>
      </x:c>
      <x:c r="AD385" s="9" t="str">
        <x:v>Hard; unclear objectives and lots of walking</x:v>
      </x:c>
      <x:c r="AE385" s="9" t="str">
        <x:v>Escape with evidence; failure states otherwise (verify)</x:v>
      </x:c>
      <x:c r="AF385" s="9" t="str">
        <x:v>Released on Saturn in NA in December 1995 and PAL in June 1996. EGM's reviewers liked its story-driven approach; Sega Saturn Magazine panned it.</x:v>
      </x:c>
      <x:c r="AG385" s="9" t="str">
        <x:v>NA (Data East) and PAL (GT Interactive)</x:v>
      </x:c>
      <x:c r="AH385" s="9" t="str">
        <x:v>No</x:v>
      </x:c>
      <x:c r="AI385" s="9" t="str">
        <x:v>Easy</x:v>
      </x:c>
      <x:c r="AJ385" s="9"/>
      <x:c r="AK385" s="9" t="str">
        <x:v>Confirmed on Saturn (Wikipedia; PriceCharting has a US Saturn page). Title misuses DEFCON 5, which is actually peacetime readiness.</x:v>
      </x:c>
      <x:c r="AL385" s="10" t="n">
        <x:v>12.07</x:v>
      </x:c>
      <x:c r="AM385" s="10" t="n">
        <x:v>24.99</x:v>
      </x:c>
      <x:c r="AN385" s="10" t="n">
        <x:v>49.82</x:v>
      </x:c>
      <x:c r="AO385" s="9" t="str">
        <x:v>2026-10-21</x:v>
      </x:c>
      <x:c r="AP385" s="11" t="str">
        <x:f>HYPERLINK("https://www.pricecharting.com/game/sega-saturn/defcon-5","PriceCharting")</x:f>
        <x:v>PriceCharting</x:v>
      </x:c>
      <x:c r="AQ385" s="9"/>
      <x:c r="AR385" s="9"/>
      <x:c r="AS385" s="9"/>
      <x:c r="AT385" s="9"/>
      <x:c r="AU385" s="9"/>
      <x:c r="AV385" s="9"/>
      <x:c r="AW385" s="9"/>
      <x:c r="AX385" s="9"/>
      <x:c r="AY385" s="9" t="str">
        <x:v>66%</x:v>
      </x:c>
      <x:c r="AZ385" s="9"/>
      <x:c r="BA385" s="11" t="str">
        <x:f>HYPERLINK("https://www.mobygames.com/search/?q=Defcon+5","MobyGames")</x:f>
        <x:v>MobyGames</x:v>
      </x:c>
      <x:c r="BB385" s="9" t="str">
        <x:v>69%</x:v>
      </x:c>
      <x:c r="BC385" s="9" t="str">
        <x:v>average of 2 reviews on Wikipedia (EGM, Sega Saturn Magazine)</x:v>
      </x:c>
      <x:c r="BD385" s="9" t="str">
        <x:f>HYPERLINK("https://en.wikipedia.org/wiki/Defcon_5_%281995_video_game%29","Source")</x:f>
        <x:v>Source</x:v>
      </x:c>
      <x:c r="BE385" s="11" t="str">
        <x:f>HYPERLINK("https://en.wikipedia.org/wiki/Defcon_5_(1995_video_game)","Wikipedia")</x:f>
        <x:v>Wikipedia</x:v>
      </x:c>
      <x:c r="BF385" s="11" t="str">
        <x:f>HYPERLINK("https://backloggd.com/search/games/Defcon%205/","Backloggd")</x:f>
        <x:v>Backloggd</x:v>
      </x:c>
      <x:c r="BG385" s="11" t="str">
        <x:f>HYPERLINK("https://segaretro.org/Defcon_5","Sega Retro")</x:f>
        <x:v>Sega Retro</x:v>
      </x:c>
      <x:c r="BH385" s="9"/>
      <x:c r="BI385" s="12" t="str">
        <x:v>No</x:v>
      </x:c>
      <x:c r="BJ385" s="12" t="str"/>
      <x:c r="BK385" s="12" t="str">
        <x:v>No</x:v>
      </x:c>
      <x:c r="BL385" s="12" t="str"/>
      <x:c r="BM385" s="12" t="str"/>
      <x:c r="BN385" s="12" t="str"/>
      <x:c r="BO385" s="12" t="str"/>
      <x:c r="BP385" s="12" t="str"/>
      <x:c r="BQ385" s="12" t="str"/>
    </x:row>
    <x:row r="386">
      <x:c r="A386" s="9" t="str">
        <x:v>saturn-65</x:v>
      </x:c>
      <x:c r="B386" s="9" t="str">
        <x:v>chaos-control</x:v>
      </x:c>
      <x:c r="C386" s="9" t="str">
        <x:v>Sega Saturn</x:v>
      </x:c>
      <x:c r="D386" s="9" t="str">
        <x:v>Chaos Control</x:v>
      </x:c>
      <x:c r="E386" s="9" t="str">
        <x:v>カオスコントロール</x:v>
      </x:c>
      <x:c r="F386" s="9" t="str">
        <x:v>Infogrames Multimedia</x:v>
      </x:c>
      <x:c r="G386" s="9" t="str">
        <x:v>Infogrames (EU); Virgin Interactive (JP)</x:v>
      </x:c>
      <x:c r="H386" s="9" t="n">
        <x:v>1995</x:v>
      </x:c>
      <x:c r="I386" s="9" t="str">
        <x:v>No</x:v>
      </x:c>
      <x:c r="J386" s="9" t="str">
        <x:v>Yes</x:v>
      </x:c>
      <x:c r="K386" s="9" t="str">
        <x:v>Yes</x:v>
      </x:c>
      <x:c r="L386" s="9" t="str">
        <x:v>No</x:v>
      </x:c>
      <x:c r="M386" s="9" t="str">
        <x:v>Rail shooter</x:v>
      </x:c>
      <x:c r="N386" s="9" t="str">
        <x:v>Pre-rendered CG</x:v>
      </x:c>
      <x:c r="O386" s="9" t="n">
        <x:v>9</x:v>
      </x:c>
      <x:c r="P386" s="9" t="str">
        <x:v>Pre-rendered CG</x:v>
      </x:c>
      <x:c r="Q386" s="9" t="str">
        <x:v>Released</x:v>
      </x:c>
      <x:c r="R386" s="9" t="str">
        <x:v>Original production (Infogrames; first released on CD-i/PC 1995)</x:v>
      </x:c>
      <x:c r="S386" s="9" t="str">
        <x:v>CD-i (needs Digital Video Cartridge), DOS, Mac, PlayStation</x:v>
      </x:c>
      <x:c r="T386" s="9" t="str">
        <x:v>—</x:v>
      </x:c>
      <x:c r="U386" s="9" t="n">
        <x:v>1</x:v>
      </x:c>
      <x:c r="V386" s="9" t="str">
        <x:v>No</x:v>
      </x:c>
      <x:c r="W386" s="9" t="str">
        <x:v>Standard pad; EU release supports light gun (Virtua Gun / Stunner)</x:v>
      </x:c>
      <x:c r="X386" s="9" t="str">
        <x:v>Low</x:v>
      </x:c>
      <x:c r="Y386" s="9" t="str"/>
      <x:c r="Z386" s="9" t="str">
        <x:v>30 min–1 hr</x:v>
      </x:c>
      <x:c r="AA386" s="9" t="str">
        <x:v>Infogrames' French sci-fi rail shooter: a crosshair over fully pre-rendered CG flythroughs of New York under alien attack, with heroine Jessica Darkhill.</x:v>
      </x:c>
      <x:c r="AB386" s="9" t="str">
        <x:v>None known</x:v>
      </x:c>
      <x:c r="AC386" s="9" t="str">
        <x:v>Full-screen streamed pre-rendered CG with anime-style cutscenes and an overlaid crosshair</x:v>
      </x:c>
      <x:c r="AD386" s="9" t="str">
        <x:v>Moderate; memorisation helps</x:v>
      </x:c>
      <x:c r="AE386" s="9" t="str">
        <x:v>Linear, one ending</x:v>
      </x:c>
      <x:c r="AF386" s="9" t="str">
        <x:v>Lt. Jessica Darkhill fights the alien Kesh Rhan over Manhattan in 2050. GamePro named the CD-i version Best CD-i Game of 1995; Computer Gaming World later called the PC version the 38th-worst computer game ever.</x:v>
      </x:c>
      <x:c r="AG386" s="9" t="str">
        <x:v>JP Saturn 1995 (pad only, no light gun); EU Saturn adds light gun and two-player; JP light-gun edition sold separately as Chaos Control Remix (1996)</x:v>
      </x:c>
      <x:c r="AH386" s="9" t="str">
        <x:v>No</x:v>
      </x:c>
      <x:c r="AI386" s="9" t="str">
        <x:v>Import</x:v>
      </x:c>
      <x:c r="AJ386" s="9"/>
      <x:c r="AK386" s="9" t="str">
        <x:v>Wikipedia confirms Saturn releases in Japan (two versions) and Europe; no US Saturn release. JP original lacked light-gun support; the EU Chaos Control and JP Remix added it plus a two-player option. JP/EU publisher of the non-Remix Saturn version not confirmed.</x:v>
      </x:c>
      <x:c r="AL386" s="10" t="n">
        <x:v>14.91</x:v>
      </x:c>
      <x:c r="AM386" s="10" t="n">
        <x:v>18.16</x:v>
      </x:c>
      <x:c r="AN386" s="10" t="n">
        <x:v>41.63</x:v>
      </x:c>
      <x:c r="AO386" s="9" t="str">
        <x:v>2026-10-21</x:v>
      </x:c>
      <x:c r="AP386" s="11" t="str">
        <x:f>HYPERLINK("https://www.pricecharting.com/game/jp-sega-saturn/chaos-control","PriceCharting")</x:f>
        <x:v>PriceCharting</x:v>
      </x:c>
      <x:c r="AQ386" s="9"/>
      <x:c r="AR386" s="9"/>
      <x:c r="AS386" s="9"/>
      <x:c r="AT386" s="9"/>
      <x:c r="AU386" s="9"/>
      <x:c r="AV386" s="9"/>
      <x:c r="AW386" s="9"/>
      <x:c r="AX386" s="9"/>
      <x:c r="AY386" s="9"/>
      <x:c r="AZ386" s="9"/>
      <x:c r="BA386" s="11" t="str">
        <x:f>HYPERLINK("https://www.mobygames.com/game/16340/chaos-control/","MobyGames")</x:f>
        <x:v>MobyGames</x:v>
      </x:c>
      <x:c r="BB386" s="9" t="str">
        <x:v>55%</x:v>
      </x:c>
      <x:c r="BC386" s="9" t="str">
        <x:v>Famitsu Cross Review on Japanese Wikipedia</x:v>
      </x:c>
      <x:c r="BD386" s="9" t="str">
        <x:f>HYPERLINK("https://ja.wikipedia.org/wiki/%E3%82%AB%E3%82%AA%E3%82%B9%E3%82%B3%E3%83%B3%E3%83%88%E3%83%AD%E3%83%BC%E3%83%AB","Source")</x:f>
        <x:v>Source</x:v>
      </x:c>
      <x:c r="BE386" s="11" t="str">
        <x:f>HYPERLINK("https://en.wikipedia.org/wiki/Chaos_Control_(video_game)","Wikipedia")</x:f>
        <x:v>Wikipedia</x:v>
      </x:c>
      <x:c r="BF386" s="11" t="str">
        <x:f>HYPERLINK("https://backloggd.com/search/games/Chaos%20Control/","Backloggd")</x:f>
        <x:v>Backloggd</x:v>
      </x:c>
      <x:c r="BG386" s="11" t="str">
        <x:f>HYPERLINK("https://segaretro.org/Chaos_Control","Sega Retro")</x:f>
        <x:v>Sega Retro</x:v>
      </x:c>
      <x:c r="BH386" s="9"/>
      <x:c r="BI386" s="12" t="str">
        <x:v>No</x:v>
      </x:c>
      <x:c r="BJ386" s="12" t="str"/>
      <x:c r="BK386" s="12" t="str">
        <x:v>No</x:v>
      </x:c>
      <x:c r="BL386" s="12" t="str"/>
      <x:c r="BM386" s="12" t="str"/>
      <x:c r="BN386" s="12" t="str"/>
      <x:c r="BO386" s="12" t="str"/>
      <x:c r="BP386" s="12" t="str"/>
      <x:c r="BQ386" s="12" t="str"/>
    </x:row>
    <x:row r="387">
      <x:c r="A387" s="9" t="str">
        <x:v>saturn-66</x:v>
      </x:c>
      <x:c r="B387" s="9" t="str">
        <x:v>chaos-control</x:v>
      </x:c>
      <x:c r="C387" s="9" t="str">
        <x:v>Sega Saturn</x:v>
      </x:c>
      <x:c r="D387" s="9" t="str">
        <x:v>Chaos Control Remix</x:v>
      </x:c>
      <x:c r="E387" s="9" t="str">
        <x:v>カオスコントロール リミックス</x:v>
      </x:c>
      <x:c r="F387" s="9" t="str">
        <x:v>Infogrames Multimedia</x:v>
      </x:c>
      <x:c r="G387" s="9" t="str">
        <x:v>Virgin Interactive Entertainment (JP)</x:v>
      </x:c>
      <x:c r="H387" s="9" t="n">
        <x:v>1996</x:v>
      </x:c>
      <x:c r="I387" s="9" t="str">
        <x:v>No</x:v>
      </x:c>
      <x:c r="J387" s="9" t="str">
        <x:v>Yes</x:v>
      </x:c>
      <x:c r="K387" s="9" t="str">
        <x:v>No</x:v>
      </x:c>
      <x:c r="L387" s="9" t="str">
        <x:v>No</x:v>
      </x:c>
      <x:c r="M387" s="9" t="str">
        <x:v>Light-gun rail shooter</x:v>
      </x:c>
      <x:c r="N387" s="9" t="str">
        <x:v>Pre-rendered CG</x:v>
      </x:c>
      <x:c r="O387" s="9" t="n">
        <x:v>9</x:v>
      </x:c>
      <x:c r="P387" s="9" t="str">
        <x:v>Pre-rendered CG</x:v>
      </x:c>
      <x:c r="Q387" s="9" t="str">
        <x:v>Released</x:v>
      </x:c>
      <x:c r="R387" s="9" t="str">
        <x:v>Reworked edition of Chaos Control (1995)</x:v>
      </x:c>
      <x:c r="S387" s="9" t="str">
        <x:v>Saturn only (EU Chaos Control has the same light-gun features)</x:v>
      </x:c>
      <x:c r="T387" s="9" t="str">
        <x:v>—</x:v>
      </x:c>
      <x:c r="U387" s="9" t="n">
        <x:v>1</x:v>
      </x:c>
      <x:c r="V387" s="9" t="str">
        <x:v>No</x:v>
      </x:c>
      <x:c r="W387" s="9" t="str">
        <x:v>Virtua Gun light gun supported; standard pad; two-player option</x:v>
      </x:c>
      <x:c r="X387" s="9" t="str">
        <x:v>Low</x:v>
      </x:c>
      <x:c r="Y387" s="9" t="str"/>
      <x:c r="Z387" s="9" t="str">
        <x:v>30 min</x:v>
      </x:c>
      <x:c r="AA387" s="9" t="str">
        <x:v>Japan's light-gun edition of Chaos Control: shoot the CG flythroughs of alien-invaded Manhattan with the Virtua Gun, now with two players.</x:v>
      </x:c>
      <x:c r="AB387" s="9" t="str">
        <x:v>None known</x:v>
      </x:c>
      <x:c r="AC387" s="9" t="str">
        <x:v>Full-screen streamed pre-rendered CG with anime-style cutscenes</x:v>
      </x:c>
      <x:c r="AD387" s="9" t="str">
        <x:v>Moderate</x:v>
      </x:c>
      <x:c r="AE387" s="9" t="str">
        <x:v>Linear, one ending</x:v>
      </x:c>
      <x:c r="AF387" s="9" t="str">
        <x:v>Retitled Remix to avoid confusion with the previous year's Japanese release, which had no light-gun support. Sega Saturn Magazine (UK) gave it 56%, noting it can be finished in about half an hour.</x:v>
      </x:c>
      <x:c r="AG387" s="9" t="str">
        <x:v>Japan only; matches the EU Saturn Chaos Control (light gun + two-player)</x:v>
      </x:c>
      <x:c r="AH387" s="9" t="str">
        <x:v>No</x:v>
      </x:c>
      <x:c r="AI387" s="9" t="str">
        <x:v>Import</x:v>
      </x:c>
      <x:c r="AJ387" s="9"/>
      <x:c r="AK387" s="9" t="str">
        <x:v>Distinct JP Saturn SKU from the 1995 Chaos Control, confirmed by Wikipedia. Sega Saturn Magazine: polished rendering, monotonous play, very low longevity.</x:v>
      </x:c>
      <x:c r="AL387" s="10"/>
      <x:c r="AM387" s="10"/>
      <x:c r="AN387" s="10"/>
      <x:c r="AO387" s="9"/>
      <x:c r="AP387" s="11" t="str">
        <x:f>HYPERLINK("https://www.pricecharting.com/search-products?q=Chaos+Control+Remix+saturn&amp;type=prices","PriceCharting")</x:f>
        <x:v>PriceCharting</x:v>
      </x:c>
      <x:c r="AQ387" s="9"/>
      <x:c r="AR387" s="9"/>
      <x:c r="AS387" s="9"/>
      <x:c r="AT387" s="9"/>
      <x:c r="AU387" s="9"/>
      <x:c r="AV387" s="9"/>
      <x:c r="AW387" s="9"/>
      <x:c r="AX387" s="9"/>
      <x:c r="AY387" s="9"/>
      <x:c r="AZ387" s="9"/>
      <x:c r="BA387" s="11" t="str">
        <x:f>HYPERLINK("https://www.mobygames.com/search/?q=Chaos+Control+Remix","MobyGames")</x:f>
        <x:v>MobyGames</x:v>
      </x:c>
      <x:c r="BB387" s="9" t="str">
        <x:v>42%</x:v>
      </x:c>
      <x:c r="BC387" s="9" t="str">
        <x:v>Famitsu Cross Review on Japanese Wikipedia</x:v>
      </x:c>
      <x:c r="BD387" s="9" t="str">
        <x:f>HYPERLINK("https://ja.wikipedia.org/wiki/%E3%82%AB%E3%82%AA%E3%82%B9%E3%82%B3%E3%83%B3%E3%83%88%E3%83%AD%E3%83%BC%E3%83%AB","Source")</x:f>
        <x:v>Source</x:v>
      </x:c>
      <x:c r="BE387" s="11" t="str">
        <x:f>HYPERLINK("https://en.wikipedia.org/wiki/Chaos_Control_(video_game)","Wikipedia")</x:f>
        <x:v>Wikipedia</x:v>
      </x:c>
      <x:c r="BF387" s="11" t="str">
        <x:f>HYPERLINK("https://backloggd.com/search/games/Chaos%20Control%20Remix/","Backloggd")</x:f>
        <x:v>Backloggd</x:v>
      </x:c>
      <x:c r="BG387" s="11" t="str">
        <x:f>HYPERLINK("https://segaretro.org/Chaos_Control_Remix","Sega Retro")</x:f>
        <x:v>Sega Retro</x:v>
      </x:c>
      <x:c r="BH387" s="9"/>
      <x:c r="BI387" s="12" t="str">
        <x:v>No</x:v>
      </x:c>
      <x:c r="BJ387" s="12" t="str"/>
      <x:c r="BK387" s="12" t="str">
        <x:v>No</x:v>
      </x:c>
      <x:c r="BL387" s="12" t="str"/>
      <x:c r="BM387" s="12" t="str"/>
      <x:c r="BN387" s="12" t="str"/>
      <x:c r="BO387" s="12" t="str"/>
      <x:c r="BP387" s="12" t="str"/>
      <x:c r="BQ387" s="12" t="str"/>
    </x:row>
    <x:row r="388">
      <x:c r="A388" s="9" t="str">
        <x:v>saturn-67</x:v>
      </x:c>
      <x:c r="B388" s="9" t="str">
        <x:v>mechanical-violator-hakaider-last-judgement</x:v>
      </x:c>
      <x:c r="C388" s="9" t="str">
        <x:v>Sega Saturn</x:v>
      </x:c>
      <x:c r="D388" s="9" t="str">
        <x:v>Mechanical Violator Hakaider: Last Judgement</x:v>
      </x:c>
      <x:c r="E388" s="9" t="str">
        <x:v>人造人間ハカイダー ラストジャッジメント (Jinzou Ningen Hakaider: Last Judgement)</x:v>
      </x:c>
      <x:c r="F388" s="9" t="str">
        <x:v>Nihon Media Programming (game); video by Toei Video / Tohokushinsha</x:v>
      </x:c>
      <x:c r="G388" s="9" t="str">
        <x:v>Sega</x:v>
      </x:c>
      <x:c r="H388" s="9" t="n">
        <x:v>1996</x:v>
      </x:c>
      <x:c r="I388" s="9" t="str">
        <x:v>No</x:v>
      </x:c>
      <x:c r="J388" s="9" t="str">
        <x:v>Yes</x:v>
      </x:c>
      <x:c r="K388" s="9" t="str">
        <x:v>No</x:v>
      </x:c>
      <x:c r="L388" s="9" t="str">
        <x:v>No</x:v>
      </x:c>
      <x:c r="M388" s="9" t="str">
        <x:v>Light-gun shooter with adventure elements</x:v>
      </x:c>
      <x:c r="N388" s="9" t="str">
        <x:v>Live-action + CG</x:v>
      </x:c>
      <x:c r="O388" s="9" t="n">
        <x:v>3</x:v>
      </x:c>
      <x:c r="P388" s="9" t="str">
        <x:v>Cutscenes only</x:v>
      </x:c>
      <x:c r="Q388" s="9" t="str">
        <x:v>Released</x:v>
      </x:c>
      <x:c r="R388" s="9" t="str">
        <x:v>Sequel to the film Mechanical Violator Hakaider (1995, dir. Keita Amemiya, Toei/Tohokushinsha/Sega); new story by Toshiki Inoue</x:v>
      </x:c>
      <x:c r="S388" s="9" t="str">
        <x:v>None</x:v>
      </x:c>
      <x:c r="T388" s="9" t="str">
        <x:v>Yuki Akimoto (Karen/Bijinder, live action), Jiro Okamoto (Hakaider suit actor); voices: Dai Matsumoto, Kazuhiko Inoue, Shinichiro Miki, Takeshi Watabe</x:v>
      </x:c>
      <x:c r="U388" s="9" t="n">
        <x:v>1</x:v>
      </x:c>
      <x:c r="V388" s="9" t="str">
        <x:v>Unknown — verify</x:v>
      </x:c>
      <x:c r="W388" s="9" t="str">
        <x:v>Virtua Gun supported; standard pad</x:v>
      </x:c>
      <x:c r="X388" s="9" t="str">
        <x:v>Med</x:v>
      </x:c>
      <x:c r="Y388" s="9" t="str">
        <x:v>Toei film footage and score</x:v>
      </x:c>
      <x:c r="Z388" s="9" t="str">
        <x:v>Unknown — verify</x:v>
      </x:c>
      <x:c r="AA388" s="9" t="str">
        <x:v>Sega's gun-game sequel to Keita Amemiya's grim 1995 tokusatsu film: ten years on, Hakaider returns to Jesus Town to win back his stolen right arm.</x:v>
      </x:c>
      <x:c r="AB388" s="9" t="str">
        <x:v>None known</x:v>
      </x:c>
      <x:c r="AC388" s="9" t="str">
        <x:v>Streamed video sequences, including a live-action ending movie shot for the game (extent of in-game video unconfirmed)</x:v>
      </x:c>
      <x:c r="AD388" s="9" t="str">
        <x:v>Unknown — verify</x:v>
      </x:c>
      <x:c r="AE388" s="9" t="str">
        <x:v>Unknown — verify</x:v>
      </x:c>
      <x:c r="AF388" s="9" t="str">
        <x:v>Released 27 December 1996. The ending's live-action scenes were filmed specially, with then-newcomer Yuki Akimoto as Karen (Bijinder's human form). 'Last Judgement' was originally a proposed subtitle for the film. Kikaider villains Professor Gil and Waruder appear. A fan quality-of-life patch was released in April 2026 (SEGA Saturn Shiro).</x:v>
      </x:c>
      <x:c r="AG388" s="9" t="str">
        <x:v>Japan only</x:v>
      </x:c>
      <x:c r="AH388" s="9" t="str">
        <x:v>No</x:v>
      </x:c>
      <x:c r="AI388" s="9" t="str">
        <x:v>Import</x:v>
      </x:c>
      <x:c r="AJ388" s="9"/>
      <x:c r="AK388" s="9" t="str">
        <x:v>Saturn game confirmed by ja/en Wikipedia (film article, game section). Kept as a cutscene title: a newly shot live-action ending plus produced video; how much other video it streams is unconfirmed.</x:v>
      </x:c>
      <x:c r="AL388" s="10" t="n">
        <x:v>27.95</x:v>
      </x:c>
      <x:c r="AM388" s="10" t="n">
        <x:v>36.47</x:v>
      </x:c>
      <x:c r="AN388" s="10" t="n">
        <x:v>62</x:v>
      </x:c>
      <x:c r="AO388" s="9" t="str">
        <x:v>2026-10-21</x:v>
      </x:c>
      <x:c r="AP388" s="11" t="str">
        <x:f>HYPERLINK("https://www.pricecharting.com/game/jp-sega-saturn/mechanical-violator-hakaider","PriceCharting")</x:f>
        <x:v>PriceCharting</x:v>
      </x:c>
      <x:c r="AQ388" s="9"/>
      <x:c r="AR388" s="9"/>
      <x:c r="AS388" s="9"/>
      <x:c r="AT388" s="9"/>
      <x:c r="AU388" s="9"/>
      <x:c r="AV388" s="9"/>
      <x:c r="AW388" s="9"/>
      <x:c r="AX388" s="9"/>
      <x:c r="AY388" s="9"/>
      <x:c r="AZ388" s="9"/>
      <x:c r="BA388" s="11" t="str">
        <x:f>HYPERLINK("https://www.mobygames.com/search/?q=Mechanical+Violator+Hakaider%3A+Last+Judgement","MobyGames")</x:f>
        <x:v>MobyGames</x:v>
      </x:c>
      <x:c r="BB388" s="9"/>
      <x:c r="BC388" s="9"/>
      <x:c r="BD388" s="9"/>
      <x:c r="BE388" s="11" t="str">
        <x:f>HYPERLINK("https://en.wikipedia.org/wiki/Mechanical_Violator_Hakaider","Wikipedia")</x:f>
        <x:v>Wikipedia</x:v>
      </x:c>
      <x:c r="BF388" s="11" t="str">
        <x:f>HYPERLINK("https://backloggd.com/search/games/Mechanical%20Violator%20Hakaider%3A%20Last%20Judgement/","Backloggd")</x:f>
        <x:v>Backloggd</x:v>
      </x:c>
      <x:c r="BG388" s="11" t="str">
        <x:f>HYPERLINK("https://segaretro.org/Jinzou_Ningen_Hakaider:_Last_Judgement","Sega Retro")</x:f>
        <x:v>Sega Retro</x:v>
      </x:c>
      <x:c r="BH388" s="9"/>
      <x:c r="BI388" s="12" t="str">
        <x:v>No</x:v>
      </x:c>
      <x:c r="BJ388" s="12" t="str"/>
      <x:c r="BK388" s="12" t="str">
        <x:v>No</x:v>
      </x:c>
      <x:c r="BL388" s="12" t="str"/>
      <x:c r="BM388" s="12" t="str"/>
      <x:c r="BN388" s="12" t="str"/>
      <x:c r="BO388" s="12" t="str"/>
      <x:c r="BP388" s="12" t="str"/>
      <x:c r="BQ388" s="12" t="str"/>
    </x:row>
    <x:row r="389">
      <x:c r="A389" s="9" t="str">
        <x:v>saturn-68</x:v>
      </x:c>
      <x:c r="B389" s="9" t="str">
        <x:v>segata-sanshiro-shinken-yuugi</x:v>
      </x:c>
      <x:c r="C389" s="9" t="str">
        <x:v>Sega Saturn</x:v>
      </x:c>
      <x:c r="D389" s="9" t="str">
        <x:v>Segata Sanshiro Shinken Yuugi</x:v>
      </x:c>
      <x:c r="E389" s="9" t="str">
        <x:v>せがた三四郎 真剣遊戯 (Segata Sanshirou Shinken Yuugi)</x:v>
      </x:c>
      <x:c r="F389" s="9" t="str">
        <x:v>Sega (verify)</x:v>
      </x:c>
      <x:c r="G389" s="9" t="str">
        <x:v>Sega</x:v>
      </x:c>
      <x:c r="H389" s="9" t="n">
        <x:v>1998</x:v>
      </x:c>
      <x:c r="I389" s="9" t="str">
        <x:v>No</x:v>
      </x:c>
      <x:c r="J389" s="9" t="str">
        <x:v>Yes</x:v>
      </x:c>
      <x:c r="K389" s="9" t="str">
        <x:v>No</x:v>
      </x:c>
      <x:c r="L389" s="9" t="str">
        <x:v>No</x:v>
      </x:c>
      <x:c r="M389" s="9" t="str">
        <x:v>Minigame collection</x:v>
      </x:c>
      <x:c r="N389" s="9" t="str">
        <x:v>Live-action</x:v>
      </x:c>
      <x:c r="O389" s="9" t="n">
        <x:v>3</x:v>
      </x:c>
      <x:c r="P389" s="9" t="str">
        <x:v>Sega FMV</x:v>
      </x:c>
      <x:c r="Q389" s="9" t="str">
        <x:v>Released</x:v>
      </x:c>
      <x:c r="R389" s="9" t="str">
        <x:v>Original production built on Sega's 1997–98 Segata Sanshiro TV ad campaign</x:v>
      </x:c>
      <x:c r="S389" s="9" t="str">
        <x:v>None</x:v>
      </x:c>
      <x:c r="T389" s="9" t="str">
        <x:v>Hiroshi Fujioka (Segata Sanshiro)</x:v>
      </x:c>
      <x:c r="U389" s="9" t="n">
        <x:v>1</x:v>
      </x:c>
      <x:c r="V389" s="9" t="str">
        <x:v>Unknown — verify</x:v>
      </x:c>
      <x:c r="W389" s="9" t="str">
        <x:v>Standard pad</x:v>
      </x:c>
      <x:c r="X389" s="9" t="str">
        <x:v>Low–Med</x:v>
      </x:c>
      <x:c r="Y389" s="9" t="str">
        <x:v>Segata Sanshiro theme song (Sega-owned; low risk)</x:v>
      </x:c>
      <x:c r="Z389" s="9" t="str">
        <x:v>1–2 hr</x:v>
      </x:c>
      <x:c r="AA389" s="9" t="str">
        <x:v>Hiroshi Fujioka's judo-throwing Saturn mascot stars in ten minigames whose reward is his run of live-action TV commercials, Sega's farewell to its most famous ad campaign.</x:v>
      </x:c>
      <x:c r="AB389" s="9" t="str">
        <x:v>None known</x:v>
      </x:c>
      <x:c r="AC389" s="9" t="str">
        <x:v>Unlockable gallery of Segata's live-action TV commercials plus a music video; the ten minigames themselves are conventional (no streamed video shown in sources)</x:v>
      </x:c>
      <x:c r="AD389" s="9" t="str">
        <x:v>Easy to moderate</x:v>
      </x:c>
      <x:c r="AE389" s="9" t="str">
        <x:v>Clear all ten minigames for a message from Segata and a music video</x:v>
      </x:c>
      <x:c r="AF389" s="9" t="str">
        <x:v>Released 29 October 1998. Minigames include Segata as Santa delivering presents and a Columns-style game where combos keep him from drowning. All 13 radio ads are playable in the 'Segata no Kotodama!!' mode. The campaign ended with Segata riding a missile into space to save Sega HQ.</x:v>
      </x:c>
      <x:c r="AG389" s="9" t="str">
        <x:v>Japan only</x:v>
      </x:c>
      <x:c r="AH389" s="9" t="str">
        <x:v>No</x:v>
      </x:c>
      <x:c r="AI389" s="9" t="str">
        <x:v>Import</x:v>
      </x:c>
      <x:c r="AJ389" s="9"/>
      <x:c r="AK389" s="9" t="str">
        <x:v>fmv lowered to 3: per Wikipedia, the live-action video is the unlockable commercials and music video, not the minigames. Gamers' Republic gave it an F; Hardcore Gaming 101 values it mostly as history.</x:v>
      </x:c>
      <x:c r="AL389" s="10" t="n">
        <x:v>38</x:v>
      </x:c>
      <x:c r="AM389" s="10" t="n">
        <x:v>63.78</x:v>
      </x:c>
      <x:c r="AN389" s="10" t="n">
        <x:v>108</x:v>
      </x:c>
      <x:c r="AO389" s="9" t="str">
        <x:v>2026-10-21</x:v>
      </x:c>
      <x:c r="AP389" s="11" t="str">
        <x:f>HYPERLINK("https://www.pricecharting.com/search-products?q=Segata+Sanshiro+Shinken+Yuugi+saturn&amp;type=prices","PriceCharting")</x:f>
        <x:v>PriceCharting</x:v>
      </x:c>
      <x:c r="AQ389" s="9"/>
      <x:c r="AR389" s="9"/>
      <x:c r="AS389" s="9"/>
      <x:c r="AT389" s="9"/>
      <x:c r="AU389" s="9"/>
      <x:c r="AV389" s="9"/>
      <x:c r="AW389" s="9"/>
      <x:c r="AX389" s="9"/>
      <x:c r="AY389" s="9"/>
      <x:c r="AZ389" s="9"/>
      <x:c r="BA389" s="11" t="str">
        <x:f>HYPERLINK("https://www.mobygames.com/search/?q=Segata+Sanshiro+Shinken+Yuugi","MobyGames")</x:f>
        <x:v>MobyGames</x:v>
      </x:c>
      <x:c r="BB389" s="9"/>
      <x:c r="BC389" s="9"/>
      <x:c r="BD389" s="9"/>
      <x:c r="BE389" s="11" t="str">
        <x:f>HYPERLINK("https://en.wikipedia.org/wiki/Segata_Sanshiro","Wikipedia")</x:f>
        <x:v>Wikipedia</x:v>
      </x:c>
      <x:c r="BF389" s="11" t="str">
        <x:f>HYPERLINK("https://backloggd.com/search/games/Segata%20Sanshiro%20Shinken%20Yuugi/","Backloggd")</x:f>
        <x:v>Backloggd</x:v>
      </x:c>
      <x:c r="BG389" s="11" t="str">
        <x:f>HYPERLINK("https://segaretro.org/Segata_Sanshirou_Shinken_Yuugi","Sega Retro")</x:f>
        <x:v>Sega Retro</x:v>
      </x:c>
      <x:c r="BH389" s="9"/>
      <x:c r="BI389" s="12" t="str">
        <x:v>No</x:v>
      </x:c>
      <x:c r="BJ389" s="12" t="str"/>
      <x:c r="BK389" s="12" t="str">
        <x:v>No</x:v>
      </x:c>
      <x:c r="BL389" s="12" t="str"/>
      <x:c r="BM389" s="12" t="str"/>
      <x:c r="BN389" s="12" t="str"/>
      <x:c r="BO389" s="12" t="str"/>
      <x:c r="BP389" s="12" t="str"/>
      <x:c r="BQ389" s="12" t="str"/>
    </x:row>
    <x:row r="390">
      <x:c r="A390" s="9" t="str">
        <x:v>saturn-69</x:v>
      </x:c>
      <x:c r="B390" s="9" t="str">
        <x:v>bakushou-all-yoshimoto-quiz-ou-ketteisen-dx</x:v>
      </x:c>
      <x:c r="C390" s="9" t="str">
        <x:v>Sega Saturn</x:v>
      </x:c>
      <x:c r="D390" s="9" t="str">
        <x:v>Bakushou!! All Yoshimoto Quiz Ou Ketteisen DX</x:v>
      </x:c>
      <x:c r="E390" s="9" t="str">
        <x:v>爆笑!!オール吉本クイズ王決定戦DX</x:v>
      </x:c>
      <x:c r="F390" s="9" t="str">
        <x:v>Yoshimoto Kogyo (Multimedia Produce) (verify)</x:v>
      </x:c>
      <x:c r="G390" s="9" t="str">
        <x:v>Yoshimoto Kogyo (verify)</x:v>
      </x:c>
      <x:c r="H390" s="9" t="n">
        <x:v>1995</x:v>
      </x:c>
      <x:c r="I390" s="9" t="str">
        <x:v>No</x:v>
      </x:c>
      <x:c r="J390" s="9" t="str">
        <x:v>Yes</x:v>
      </x:c>
      <x:c r="K390" s="9" t="str">
        <x:v>No</x:v>
      </x:c>
      <x:c r="L390" s="9" t="str">
        <x:v>No</x:v>
      </x:c>
      <x:c r="M390" s="9" t="str">
        <x:v>Quiz</x:v>
      </x:c>
      <x:c r="N390" s="9" t="str">
        <x:v>Live-action</x:v>
      </x:c>
      <x:c r="O390" s="9" t="n">
        <x:v>6</x:v>
      </x:c>
      <x:c r="P390" s="9" t="str">
        <x:v>Game show / trivia</x:v>
      </x:c>
      <x:c r="Q390" s="9" t="str">
        <x:v>Released</x:v>
      </x:c>
      <x:c r="R390" s="9" t="str">
        <x:v>Original production; DX edition of the 3DO quiz game, featuring Yoshimoto comedians</x:v>
      </x:c>
      <x:c r="S390" s="9" t="str">
        <x:v>3DO (original), PlayStation (verify)</x:v>
      </x:c>
      <x:c r="T390" s="9" t="str">
        <x:v>Yoshimoto Kogyo comedians (names not confirmed)</x:v>
      </x:c>
      <x:c r="U390" s="9" t="n">
        <x:v>1</x:v>
      </x:c>
      <x:c r="V390" s="9" t="str">
        <x:v>Unknown — verify</x:v>
      </x:c>
      <x:c r="W390" s="9" t="str">
        <x:v>Standard pad</x:v>
      </x:c>
      <x:c r="X390" s="9" t="str">
        <x:v>Med</x:v>
      </x:c>
      <x:c r="Y390" s="9" t="str">
        <x:v>TV-style talent footage; possible TV music</x:v>
      </x:c>
      <x:c r="Z390" s="9" t="str">
        <x:v>1–2 hr</x:v>
      </x:c>
      <x:c r="AA390" s="9" t="str">
        <x:v>A live-action quiz show starring Yoshimoto Kogyo's comedy stable, Japan's answer to a 1990s FMV game show.</x:v>
      </x:c>
      <x:c r="AB390" s="9" t="str">
        <x:v>None known</x:v>
      </x:c>
      <x:c r="AC390" s="9" t="str">
        <x:v>Live-action video segments of comedians (verify)</x:v>
      </x:c>
      <x:c r="AD390" s="9" t="str">
        <x:v>Hard for non-Japanese readers</x:v>
      </x:c>
      <x:c r="AE390" s="9" t="str">
        <x:v>Quiz; score-based</x:v>
      </x:c>
      <x:c r="AF390" s="9" t="str">
        <x:v>Featured in Denfaminicogamer's survey of 1990s live-action games as a Saturn title.</x:v>
      </x:c>
      <x:c r="AG390" s="9" t="str">
        <x:v>Japan only</x:v>
      </x:c>
      <x:c r="AH390" s="9" t="str">
        <x:v>No</x:v>
      </x:c>
      <x:c r="AI390" s="9" t="str">
        <x:v>Import</x:v>
      </x:c>
      <x:c r="AJ390" s="9"/>
      <x:c r="AK390" s="9" t="str">
        <x:v>Saturn version is the DX edition (Sega Retro). The fetched reference pages were the wrong articles, so developer, cast and the amount of live-action video are still unconfirmed; fmv 6 is an estimate.</x:v>
      </x:c>
      <x:c r="AL390" s="10"/>
      <x:c r="AM390" s="10"/>
      <x:c r="AN390" s="10"/>
      <x:c r="AO390" s="9"/>
      <x:c r="AP390" s="11" t="str">
        <x:f>HYPERLINK("https://www.pricecharting.com/search-products?q=Bakushou%21%21+All+Yoshimoto+Quiz+Ou+Ketteisen+DX+saturn&amp;type=prices","PriceCharting")</x:f>
        <x:v>PriceCharting</x:v>
      </x:c>
      <x:c r="AQ390" s="9"/>
      <x:c r="AR390" s="9"/>
      <x:c r="AS390" s="9"/>
      <x:c r="AT390" s="9"/>
      <x:c r="AU390" s="9"/>
      <x:c r="AV390" s="9"/>
      <x:c r="AW390" s="9"/>
      <x:c r="AX390" s="9"/>
      <x:c r="AY390" s="9"/>
      <x:c r="AZ390" s="9"/>
      <x:c r="BA390" s="11" t="str">
        <x:f>HYPERLINK("https://www.mobygames.com/search/?q=Bakushou%21%21+All+Yoshimoto+Quiz+Ou+Ketteisen+DX","MobyGames")</x:f>
        <x:v>MobyGames</x:v>
      </x:c>
      <x:c r="BB390" s="9"/>
      <x:c r="BC390" s="9"/>
      <x:c r="BD390" s="9"/>
      <x:c r="BE390" s="9"/>
      <x:c r="BF390" s="11" t="str">
        <x:f>HYPERLINK("https://backloggd.com/search/games/Bakushou%21%21%20All%20Yoshimoto%20Quiz%20Ou%20Ketteisen%20DX/","Backloggd")</x:f>
        <x:v>Backloggd</x:v>
      </x:c>
      <x:c r="BG390" s="11" t="str">
        <x:f>HYPERLINK("https://segaretro.org/Bakushou!!_All_Yoshimoto_Quiz_Ou_Ketteisen_DX","Sega Retro")</x:f>
        <x:v>Sega Retro</x:v>
      </x:c>
      <x:c r="BH390" s="9"/>
      <x:c r="BI390" s="12" t="str">
        <x:v>No</x:v>
      </x:c>
      <x:c r="BJ390" s="12" t="str"/>
      <x:c r="BK390" s="12" t="str">
        <x:v>No</x:v>
      </x:c>
      <x:c r="BL390" s="12" t="str"/>
      <x:c r="BM390" s="12" t="str"/>
      <x:c r="BN390" s="12" t="str"/>
      <x:c r="BO390" s="12" t="str"/>
      <x:c r="BP390" s="12" t="str"/>
      <x:c r="BQ390" s="12" t="str"/>
    </x:row>
    <x:row r="391">
      <x:c r="A391" s="9" t="str">
        <x:v>saturn-70</x:v>
      </x:c>
      <x:c r="B391" s="9" t="str">
        <x:v>soviet-strike</x:v>
      </x:c>
      <x:c r="C391" s="9" t="str">
        <x:v>Sega Saturn</x:v>
      </x:c>
      <x:c r="D391" s="9" t="str">
        <x:v>Soviet Strike</x:v>
      </x:c>
      <x:c r="E391" s="9" t="str"/>
      <x:c r="F391" s="9" t="str">
        <x:v>Electronic Arts (Saturn version by Tiburon Entertainment)</x:v>
      </x:c>
      <x:c r="G391" s="9" t="str">
        <x:v>Electronic Arts (NA/EU), EA Victor (JP) — verify</x:v>
      </x:c>
      <x:c r="H391" s="9" t="n">
        <x:v>1997</x:v>
      </x:c>
      <x:c r="I391" s="9" t="str">
        <x:v>Yes</x:v>
      </x:c>
      <x:c r="J391" s="9" t="str">
        <x:v>Yes</x:v>
      </x:c>
      <x:c r="K391" s="9" t="str">
        <x:v>Yes</x:v>
      </x:c>
      <x:c r="L391" s="9" t="str">
        <x:v>No</x:v>
      </x:c>
      <x:c r="M391" s="9" t="str">
        <x:v>Isometric helicopter shooter</x:v>
      </x:c>
      <x:c r="N391" s="9" t="str">
        <x:v>Live-action + CG</x:v>
      </x:c>
      <x:c r="O391" s="9" t="n">
        <x:v>3</x:v>
      </x:c>
      <x:c r="P391" s="9" t="str">
        <x:v>Cutscenes only</x:v>
      </x:c>
      <x:c r="Q391" s="9" t="str">
        <x:v>Released</x:v>
      </x:c>
      <x:c r="R391" s="9" t="str">
        <x:v>Original production (Strike series)</x:v>
      </x:c>
      <x:c r="S391" s="9" t="str">
        <x:v>PlayStation</x:v>
      </x:c>
      <x:c r="T391" s="9" t="str">
        <x:v>Live-action briefing cast (verify names)</x:v>
      </x:c>
      <x:c r="U391" s="9" t="n">
        <x:v>1</x:v>
      </x:c>
      <x:c r="V391" s="9" t="str">
        <x:v>Yes</x:v>
      </x:c>
      <x:c r="W391" s="9" t="str">
        <x:v>Standard pad; 3D analogue pad supported</x:v>
      </x:c>
      <x:c r="X391" s="9" t="str">
        <x:v>Low</x:v>
      </x:c>
      <x:c r="Y391" s="9" t="str"/>
      <x:c r="Z391" s="9" t="str">
        <x:v>6–10 hr</x:v>
      </x:c>
      <x:c r="AA391" s="9" t="str">
        <x:v>The Strike series goes 32-bit with live-action news reports and mission briefings between helicopter sorties.</x:v>
      </x:c>
      <x:c r="AB391" s="9" t="str">
        <x:v>None known</x:v>
      </x:c>
      <x:c r="AC391" s="9" t="str">
        <x:v>Live-action FMV briefings and fake news broadcasts between missions</x:v>
      </x:c>
      <x:c r="AD391" s="9" t="str">
        <x:v>Hard</x:v>
      </x:c>
      <x:c r="AE391" s="9" t="str">
        <x:v>Linear</x:v>
      </x:c>
      <x:c r="AF391" s="9" t="str">
        <x:v>Developed by EA's Strike team at the height of the series' popularity.</x:v>
      </x:c>
      <x:c r="AG391" s="9" t="str">
        <x:v>NA, EU Saturn releases; JP unconfirmed (verify)</x:v>
      </x:c>
      <x:c r="AH391" s="9" t="str">
        <x:v>No</x:v>
      </x:c>
      <x:c r="AI391" s="9" t="str">
        <x:v>Easy</x:v>
      </x:c>
      <x:c r="AJ391" s="9"/>
      <x:c r="AK391" s="9" t="str">
        <x:v>Notable cutscene title; FMV is briefings and fake news. Critics praised the FMV acting (GameSpot: some of the best CD-ROM acting in a long time). Saturn version (1997) adds an easy mode, hidden weapons, analogue pad support and many bug fixes over the PS1. Sega Saturn Magazine Game of the Month. JP Saturn release unconfirmed.</x:v>
      </x:c>
      <x:c r="AL391" s="10" t="n">
        <x:v>12.24</x:v>
      </x:c>
      <x:c r="AM391" s="10" t="n">
        <x:v>27.5</x:v>
      </x:c>
      <x:c r="AN391" s="10" t="n">
        <x:v>71.99</x:v>
      </x:c>
      <x:c r="AO391" s="9" t="str">
        <x:v>2026-10-21</x:v>
      </x:c>
      <x:c r="AP391" s="11" t="str">
        <x:f>HYPERLINK("https://www.pricecharting.com/game/sega-saturn/soviet-strike","PriceCharting")</x:f>
        <x:v>PriceCharting</x:v>
      </x:c>
      <x:c r="AQ391" s="9"/>
      <x:c r="AR391" s="9"/>
      <x:c r="AS391" s="9"/>
      <x:c r="AT391" s="9"/>
      <x:c r="AU391" s="9"/>
      <x:c r="AV391" s="9"/>
      <x:c r="AW391" s="9"/>
      <x:c r="AX391" s="9"/>
      <x:c r="AY391" s="9"/>
      <x:c r="AZ391" s="9"/>
      <x:c r="BA391" s="11" t="str">
        <x:f>HYPERLINK("https://www.mobygames.com/search/?q=Soviet+Strike","MobyGames")</x:f>
        <x:v>MobyGames</x:v>
      </x:c>
      <x:c r="BB391" s="9" t="str">
        <x:v>95%</x:v>
      </x:c>
      <x:c r="BC391" s="9" t="str">
        <x:v>GameRankings, 1 review</x:v>
      </x:c>
      <x:c r="BD391" s="9" t="str">
        <x:f>HYPERLINK("https://web.archive.org/web/20191209012814id_/https://www.gamerankings.com/saturn/562830-soviet-strike/","Source")</x:f>
        <x:v>Source</x:v>
      </x:c>
      <x:c r="BE391" s="11" t="str">
        <x:f>HYPERLINK("https://en.wikipedia.org/wiki/Soviet_Strike","Wikipedia")</x:f>
        <x:v>Wikipedia</x:v>
      </x:c>
      <x:c r="BF391" s="11" t="str">
        <x:f>HYPERLINK("https://backloggd.com/search/games/Soviet%20Strike/","Backloggd")</x:f>
        <x:v>Backloggd</x:v>
      </x:c>
      <x:c r="BG391" s="11" t="str">
        <x:f>HYPERLINK("https://segaretro.org/Soviet_Strike","Sega Retro")</x:f>
        <x:v>Sega Retro</x:v>
      </x:c>
      <x:c r="BH391" s="9"/>
      <x:c r="BI391" s="12" t="str">
        <x:v>No</x:v>
      </x:c>
      <x:c r="BJ391" s="12" t="str"/>
      <x:c r="BK391" s="12" t="str">
        <x:v>No</x:v>
      </x:c>
      <x:c r="BL391" s="12" t="str"/>
      <x:c r="BM391" s="12" t="str"/>
      <x:c r="BN391" s="12" t="str"/>
      <x:c r="BO391" s="12" t="str"/>
      <x:c r="BP391" s="12" t="str"/>
      <x:c r="BQ391" s="12" t="str"/>
    </x:row>
    <x:row r="392">
      <x:c r="A392" s="9" t="str">
        <x:v>saturn-71</x:v>
      </x:c>
      <x:c r="B392" s="9" t="str">
        <x:v>thunderhawk-ii</x:v>
      </x:c>
      <x:c r="C392" s="9" t="str">
        <x:v>Sega Saturn</x:v>
      </x:c>
      <x:c r="D392" s="9" t="str">
        <x:v>Thunderhawk II</x:v>
      </x:c>
      <x:c r="E392" s="9" t="str">
        <x:v>Firestorm: Thunderhawk 2; Thunderstrike 2 (NA)</x:v>
      </x:c>
      <x:c r="F392" s="9" t="str">
        <x:v>Core Design</x:v>
      </x:c>
      <x:c r="G392" s="9" t="str">
        <x:v>Core Design (EU/NA, verify NA), Victor Entertainment (JP)</x:v>
      </x:c>
      <x:c r="H392" s="9" t="n">
        <x:v>1995</x:v>
      </x:c>
      <x:c r="I392" s="9" t="str">
        <x:v>Yes</x:v>
      </x:c>
      <x:c r="J392" s="9" t="str">
        <x:v>Yes</x:v>
      </x:c>
      <x:c r="K392" s="9" t="str">
        <x:v>Yes</x:v>
      </x:c>
      <x:c r="L392" s="9" t="str">
        <x:v>No</x:v>
      </x:c>
      <x:c r="M392" s="9" t="str">
        <x:v>Helicopter combat</x:v>
      </x:c>
      <x:c r="N392" s="9" t="str">
        <x:v>Live-action + CG</x:v>
      </x:c>
      <x:c r="O392" s="9" t="n">
        <x:v>3</x:v>
      </x:c>
      <x:c r="P392" s="9" t="str">
        <x:v>Cutscenes only</x:v>
      </x:c>
      <x:c r="Q392" s="9" t="str">
        <x:v>Released</x:v>
      </x:c>
      <x:c r="R392" s="9" t="str">
        <x:v>Original production; sequel to Thunderhawk (Mega CD)</x:v>
      </x:c>
      <x:c r="S392" s="9" t="str">
        <x:v>PlayStation, DOS (Jaguar CD port cancelled)</x:v>
      </x:c>
      <x:c r="T392" s="9" t="str">
        <x:v>—</x:v>
      </x:c>
      <x:c r="U392" s="9" t="n">
        <x:v>1</x:v>
      </x:c>
      <x:c r="V392" s="9" t="str">
        <x:v>Unknown — verify</x:v>
      </x:c>
      <x:c r="W392" s="9" t="str">
        <x:v>Standard pad</x:v>
      </x:c>
      <x:c r="X392" s="9" t="str">
        <x:v>Low</x:v>
      </x:c>
      <x:c r="Y392" s="9" t="str"/>
      <x:c r="Z392" s="9" t="str">
        <x:v>6–8 hr</x:v>
      </x:c>
      <x:c r="AA392" s="9" t="str">
        <x:v>Core Design's attack-helicopter sequel with FMV mission briefings and CG intros.</x:v>
      </x:c>
      <x:c r="AB392" s="9" t="str">
        <x:v>None known</x:v>
      </x:c>
      <x:c r="AC392" s="9" t="str">
        <x:v>FMV briefings/cutscenes (verify live-action vs. CG)</x:v>
      </x:c>
      <x:c r="AD392" s="9" t="str">
        <x:v>Moderate–hard</x:v>
      </x:c>
      <x:c r="AE392" s="9" t="str">
        <x:v>Linear</x:v>
      </x:c>
      <x:c r="AF392" s="9" t="str">
        <x:v>Developed in parallel for PC, Saturn and PS1 on the original Thunderhawk engine; a playable PC build took a month. JP Saturn release by Victor on 23 February 1996 (product code T-6006G). GamesMaster ranked it 9th in its 1996 Saturn Top 10.</x:v>
      </x:c>
      <x:c r="AG392" s="9" t="str">
        <x:v>Thunderstrike 2 (NA), Thunderhawk II (EU/JP)</x:v>
      </x:c>
      <x:c r="AH392" s="9" t="str">
        <x:v>No</x:v>
      </x:c>
      <x:c r="AI392" s="9" t="str">
        <x:v>Easy</x:v>
      </x:c>
      <x:c r="AJ392" s="9"/>
      <x:c r="AK392" s="9" t="str">
        <x:v>Notable cutscene title; target release 4 December 1995 for all versions. Extent of FMV not described by Wikipedia.</x:v>
      </x:c>
      <x:c r="AL392" s="10" t="n">
        <x:v>9.34</x:v>
      </x:c>
      <x:c r="AM392" s="10" t="n">
        <x:v>13.76</x:v>
      </x:c>
      <x:c r="AN392" s="10" t="n">
        <x:v>23</x:v>
      </x:c>
      <x:c r="AO392" s="9" t="str">
        <x:v>2026-10-21</x:v>
      </x:c>
      <x:c r="AP392" s="11" t="str">
        <x:f>HYPERLINK("https://www.pricecharting.com/game/jp-sega-saturn/thunderhawk-ii","PriceCharting")</x:f>
        <x:v>PriceCharting</x:v>
      </x:c>
      <x:c r="AQ392" s="9"/>
      <x:c r="AR392" s="9"/>
      <x:c r="AS392" s="9"/>
      <x:c r="AT392" s="9"/>
      <x:c r="AU392" s="9"/>
      <x:c r="AV392" s="9"/>
      <x:c r="AW392" s="9"/>
      <x:c r="AX392" s="9"/>
      <x:c r="AY392" s="9"/>
      <x:c r="AZ392" s="9"/>
      <x:c r="BA392" s="11" t="str">
        <x:f>HYPERLINK("https://www.mobygames.com/search/?q=Thunderhawk+II","MobyGames")</x:f>
        <x:v>MobyGames</x:v>
      </x:c>
      <x:c r="BB392" s="9" t="str">
        <x:v>84%</x:v>
      </x:c>
      <x:c r="BC392" s="9" t="str">
        <x:v>average of 3 reviews on Wikipedia (EGM, Hyper, Sega Saturn Magazine)</x:v>
      </x:c>
      <x:c r="BD392" s="9" t="str">
        <x:f>HYPERLINK("https://en.wikipedia.org/wiki/Firestorm%3A_Thunderhawk_2","Source")</x:f>
        <x:v>Source</x:v>
      </x:c>
      <x:c r="BE392" s="11" t="str">
        <x:f>HYPERLINK("https://en.wikipedia.org/wiki/Firestorm:_Thunderhawk_2","Wikipedia")</x:f>
        <x:v>Wikipedia</x:v>
      </x:c>
      <x:c r="BF392" s="11" t="str">
        <x:f>HYPERLINK("https://backloggd.com/search/games/Thunderhawk%20II/","Backloggd")</x:f>
        <x:v>Backloggd</x:v>
      </x:c>
      <x:c r="BG392" s="11" t="str">
        <x:f>HYPERLINK("https://segaretro.org/Thunderhawk_II","Sega Retro")</x:f>
        <x:v>Sega Retro</x:v>
      </x:c>
      <x:c r="BH392" s="9"/>
      <x:c r="BI392" s="12" t="str">
        <x:v>No</x:v>
      </x:c>
      <x:c r="BJ392" s="12" t="str"/>
      <x:c r="BK392" s="12" t="str">
        <x:v>No</x:v>
      </x:c>
      <x:c r="BL392" s="12" t="str"/>
      <x:c r="BM392" s="12" t="str"/>
      <x:c r="BN392" s="12" t="str"/>
      <x:c r="BO392" s="12" t="str"/>
      <x:c r="BP392" s="12" t="str"/>
      <x:c r="BQ392" s="12" t="str"/>
    </x:row>
    <x:row r="393">
      <x:c r="A393" s="9" t="str">
        <x:v>saturn-72</x:v>
      </x:c>
      <x:c r="B393" s="9" t="str">
        <x:v>blazing-dragons</x:v>
      </x:c>
      <x:c r="C393" s="9" t="str">
        <x:v>Sega Saturn</x:v>
      </x:c>
      <x:c r="D393" s="9" t="str">
        <x:v>Blazing Dragons</x:v>
      </x:c>
      <x:c r="E393" s="9" t="str"/>
      <x:c r="F393" s="9" t="str">
        <x:v>Illusions Gaming Company</x:v>
      </x:c>
      <x:c r="G393" s="9" t="str">
        <x:v>Crystal Dynamics (NA), BMG Interactive (EU) — verify</x:v>
      </x:c>
      <x:c r="H393" s="9" t="n">
        <x:v>1996</x:v>
      </x:c>
      <x:c r="I393" s="9" t="str">
        <x:v>Yes</x:v>
      </x:c>
      <x:c r="J393" s="9" t="str">
        <x:v>No</x:v>
      </x:c>
      <x:c r="K393" s="9" t="str">
        <x:v>Yes</x:v>
      </x:c>
      <x:c r="L393" s="9" t="str">
        <x:v>No</x:v>
      </x:c>
      <x:c r="M393" s="9" t="str">
        <x:v>Point-and-click adventure</x:v>
      </x:c>
      <x:c r="N393" s="9" t="str">
        <x:v>Animated</x:v>
      </x:c>
      <x:c r="O393" s="9" t="n">
        <x:v>3</x:v>
      </x:c>
      <x:c r="P393" s="9" t="str">
        <x:v>Cutscenes only</x:v>
      </x:c>
      <x:c r="Q393" s="9" t="str">
        <x:v>Released</x:v>
      </x:c>
      <x:c r="R393" s="9" t="str">
        <x:v>Original production by Terry Jones (Monty Python), later a TV cartoon</x:v>
      </x:c>
      <x:c r="S393" s="9" t="str">
        <x:v>PlayStation</x:v>
      </x:c>
      <x:c r="T393" s="9" t="str">
        <x:v>Voices: Terry Jones, Cheech Marin, Harry Shearer, Jim Cummings, Jeff Bennett, Kath Soucie, B. J. Ward, Roger Rose, Michael Bell, Brian George, Rob Paulsen, Robert Ridgely, Jess Harnell, Gregg Berger, Charlie Adler</x:v>
      </x:c>
      <x:c r="U393" s="9" t="n">
        <x:v>1</x:v>
      </x:c>
      <x:c r="V393" s="9" t="str">
        <x:v>Yes</x:v>
      </x:c>
      <x:c r="W393" s="9" t="str">
        <x:v>Standard pad</x:v>
      </x:c>
      <x:c r="X393" s="9" t="str">
        <x:v>Low</x:v>
      </x:c>
      <x:c r="Y393" s="9" t="str"/>
      <x:c r="Z393" s="9" t="str">
        <x:v>8–12 hr</x:v>
      </x:c>
      <x:c r="AA393" s="9" t="str">
        <x:v>Terry Jones' Monty Python-style Arthurian spoof with dragons as knights, in hand-drawn animation.</x:v>
      </x:c>
      <x:c r="AB393" s="9" t="str">
        <x:v>None known</x:v>
      </x:c>
      <x:c r="AC393" s="9" t="str">
        <x:v>Animated cutscenes streamed from disc</x:v>
      </x:c>
      <x:c r="AD393" s="9" t="str">
        <x:v>Moderate; adventure logic</x:v>
      </x:c>
      <x:c r="AE393" s="9" t="str">
        <x:v>One ending</x:v>
      </x:c>
      <x:c r="AF393" s="9" t="str">
        <x:v>Created by Terry Jones; became an animated TV series.</x:v>
      </x:c>
      <x:c r="AG393" s="9" t="str">
        <x:v>NA and PAL</x:v>
      </x:c>
      <x:c r="AH393" s="9" t="str">
        <x:v>No</x:v>
      </x:c>
      <x:c r="AI393" s="9" t="str">
        <x:v>Easy</x:v>
      </x:c>
      <x:c r="AJ393" s="9"/>
      <x:c r="AK393" s="9" t="str">
        <x:v>Animated FMV cutscenes; fmv 3. Saturn/PS1 release by Crystal Dynamics in 1996 confirmed; fetched page was the TV series article, so the game's voice cast is unconfirmed.</x:v>
      </x:c>
      <x:c r="AL393" s="10" t="n">
        <x:v>19.04</x:v>
      </x:c>
      <x:c r="AM393" s="10" t="n">
        <x:v>39.99</x:v>
      </x:c>
      <x:c r="AN393" s="10" t="n">
        <x:v>86.73</x:v>
      </x:c>
      <x:c r="AO393" s="9" t="str">
        <x:v>2026-10-21</x:v>
      </x:c>
      <x:c r="AP393" s="11" t="str">
        <x:f>HYPERLINK("https://www.pricecharting.com/game/sega-saturn/blazing-dragons","PriceCharting")</x:f>
        <x:v>PriceCharting</x:v>
      </x:c>
      <x:c r="AQ393" s="9"/>
      <x:c r="AR393" s="9"/>
      <x:c r="AS393" s="9"/>
      <x:c r="AT393" s="9"/>
      <x:c r="AU393" s="9"/>
      <x:c r="AV393" s="9"/>
      <x:c r="AW393" s="9"/>
      <x:c r="AX393" s="9"/>
      <x:c r="AY393" s="9"/>
      <x:c r="AZ393" s="9"/>
      <x:c r="BA393" s="11" t="str">
        <x:f>HYPERLINK("https://www.mobygames.com/search/?q=Blazing+Dragons","MobyGames")</x:f>
        <x:v>MobyGames</x:v>
      </x:c>
      <x:c r="BB393" s="9" t="str">
        <x:v>56%</x:v>
      </x:c>
      <x:c r="BC393" s="9" t="str">
        <x:v>GameRankings, 1 review</x:v>
      </x:c>
      <x:c r="BD393" s="9" t="str">
        <x:f>HYPERLINK("https://web.archive.org/web/20191209015245id_/https://www.gamerankings.com/saturn/196780-blazing-dragons/","Source")</x:f>
        <x:v>Source</x:v>
      </x:c>
      <x:c r="BE393" s="9"/>
      <x:c r="BF393" s="11" t="str">
        <x:f>HYPERLINK("https://backloggd.com/search/games/Blazing%20Dragons/","Backloggd")</x:f>
        <x:v>Backloggd</x:v>
      </x:c>
      <x:c r="BG393" s="11" t="str">
        <x:f>HYPERLINK("https://segaretro.org/Blazing_Dragons","Sega Retro")</x:f>
        <x:v>Sega Retro</x:v>
      </x:c>
      <x:c r="BH393" s="9"/>
      <x:c r="BI393" s="12" t="str">
        <x:v>No</x:v>
      </x:c>
      <x:c r="BJ393" s="12" t="str"/>
      <x:c r="BK393" s="12" t="str">
        <x:v>No</x:v>
      </x:c>
      <x:c r="BL393" s="12" t="str"/>
      <x:c r="BM393" s="12" t="str"/>
      <x:c r="BN393" s="12" t="str"/>
      <x:c r="BO393" s="12" t="str"/>
      <x:c r="BP393" s="12" t="str"/>
      <x:c r="BQ393" s="12" t="str"/>
    </x:row>
    <x:row r="394">
      <x:c r="A394" s="9" t="str">
        <x:v>saturn-73</x:v>
      </x:c>
      <x:c r="B394" s="9" t="str">
        <x:v>darkseed-ii</x:v>
      </x:c>
      <x:c r="C394" s="9" t="str">
        <x:v>Sega Saturn</x:v>
      </x:c>
      <x:c r="D394" s="9" t="str">
        <x:v>Darkseed II</x:v>
      </x:c>
      <x:c r="E394" s="9" t="str">
        <x:v>ダークシードII</x:v>
      </x:c>
      <x:c r="F394" s="9" t="str">
        <x:v>Cyberdreams (original); Saturn port by B-Factory (verify)</x:v>
      </x:c>
      <x:c r="G394" s="9" t="str">
        <x:v>Emotion Digital Software / B-Factory (JP)</x:v>
      </x:c>
      <x:c r="H394" s="9" t="n">
        <x:v>1997</x:v>
      </x:c>
      <x:c r="I394" s="9" t="str">
        <x:v>No</x:v>
      </x:c>
      <x:c r="J394" s="9" t="str">
        <x:v>Yes</x:v>
      </x:c>
      <x:c r="K394" s="9" t="str">
        <x:v>No</x:v>
      </x:c>
      <x:c r="L394" s="9" t="str">
        <x:v>No</x:v>
      </x:c>
      <x:c r="M394" s="9" t="str">
        <x:v>Point-and-click horror adventure</x:v>
      </x:c>
      <x:c r="N394" s="9" t="str">
        <x:v>Live-action + pre-rendered CG</x:v>
      </x:c>
      <x:c r="O394" s="9" t="n">
        <x:v>3</x:v>
      </x:c>
      <x:c r="P394" s="9" t="str">
        <x:v>FMV adventure</x:v>
      </x:c>
      <x:c r="Q394" s="9" t="str">
        <x:v>Released</x:v>
      </x:c>
      <x:c r="R394" s="9" t="str">
        <x:v>PC original (Cyberdreams, 1995), H.R. Giger art</x:v>
      </x:c>
      <x:c r="S394" s="9" t="str">
        <x:v>DOS/Windows, PlayStation (JP), Mac</x:v>
      </x:c>
      <x:c r="T394" s="9" t="str">
        <x:v>Chris Gilbert (Mike Dawson); Japanese dub on Saturn</x:v>
      </x:c>
      <x:c r="U394" s="9" t="n">
        <x:v>1</x:v>
      </x:c>
      <x:c r="V394" s="9" t="str">
        <x:v>Yes</x:v>
      </x:c>
      <x:c r="W394" s="9" t="str">
        <x:v>Standard pad (no shuttle mouse support)</x:v>
      </x:c>
      <x:c r="X394" s="9" t="str">
        <x:v>Low</x:v>
      </x:c>
      <x:c r="Y394" s="9" t="str"/>
      <x:c r="Z394" s="9" t="str">
        <x:v>6–10 hr</x:v>
      </x:c>
      <x:c r="AA394" s="9" t="str">
        <x:v>H.R. Giger's biomechanical Dark World returns, with digitized actors walking pre-rendered sets.</x:v>
      </x:c>
      <x:c r="AB394" s="9" t="str">
        <x:v>None known</x:v>
      </x:c>
      <x:c r="AC394" s="9" t="str">
        <x:v>Digitized actor animation and cutscenes (verify)</x:v>
      </x:c>
      <x:c r="AD394" s="9" t="str">
        <x:v>Obtuse adventure puzzles</x:v>
      </x:c>
      <x:c r="AE394" s="9" t="str">
        <x:v>One ending</x:v>
      </x:c>
      <x:c r="AF394" s="9" t="str">
        <x:v>Sequel to Dark Seed, written by Raymond Benson with Twin Peaks influences; Giger licensed his art again. Saturn release 29 August 1997 in Japan, fully dubbed in Japanese; unlike the first game's Saturn port, no shuttle mouse support.</x:v>
      </x:c>
      <x:c r="AG394" s="9" t="str">
        <x:v>Japan only on Saturn</x:v>
      </x:c>
      <x:c r="AH394" s="9" t="str">
        <x:v>No</x:v>
      </x:c>
      <x:c r="AI394" s="9" t="str">
        <x:v>Import</x:v>
      </x:c>
      <x:c r="AJ394" s="9"/>
      <x:c r="AK394" s="9" t="str">
        <x:v>Console versions were Japan-only and fully dubbed (Wikipedia). JP Saturn publisher unconfirmed. Mostly digitized actors over pre-rendered sets; may score lower. Famitsu: 'not for everyone'.</x:v>
      </x:c>
      <x:c r="AL394" s="10" t="n">
        <x:v>11.19</x:v>
      </x:c>
      <x:c r="AM394" s="10" t="n">
        <x:v>86.47</x:v>
      </x:c>
      <x:c r="AN394" s="10" t="n">
        <x:v>147</x:v>
      </x:c>
      <x:c r="AO394" s="9" t="str">
        <x:v>2026-10-21</x:v>
      </x:c>
      <x:c r="AP394" s="11" t="str">
        <x:f>HYPERLINK("https://www.pricecharting.com/game/jp-sega-saturn/dark-seed-ii","PriceCharting")</x:f>
        <x:v>PriceCharting</x:v>
      </x:c>
      <x:c r="AQ394" s="9"/>
      <x:c r="AR394" s="9"/>
      <x:c r="AS394" s="9"/>
      <x:c r="AT394" s="9"/>
      <x:c r="AU394" s="9"/>
      <x:c r="AV394" s="9"/>
      <x:c r="AW394" s="9"/>
      <x:c r="AX394" s="9"/>
      <x:c r="AY394" s="9"/>
      <x:c r="AZ394" s="9"/>
      <x:c r="BA394" s="11" t="str">
        <x:f>HYPERLINK("https://www.mobygames.com/search/?q=Darkseed+II","MobyGames")</x:f>
        <x:v>MobyGames</x:v>
      </x:c>
      <x:c r="BB394" s="9" t="str">
        <x:v>60%</x:v>
      </x:c>
      <x:c r="BC394" s="9" t="str">
        <x:v>Famitsu Cross Review on Japanese Wikipedia</x:v>
      </x:c>
      <x:c r="BD394" s="9" t="str">
        <x:f>HYPERLINK("https://ja.wikipedia.org/wiki/%E3%83%80%E3%83%BC%E3%82%AF%E3%82%B7%E3%83%BC%E3%83%89","Source")</x:f>
        <x:v>Source</x:v>
      </x:c>
      <x:c r="BE394" s="11" t="str">
        <x:f>HYPERLINK("https://en.wikipedia.org/wiki/Dark_Seed_II","Wikipedia")</x:f>
        <x:v>Wikipedia</x:v>
      </x:c>
      <x:c r="BF394" s="11" t="str">
        <x:f>HYPERLINK("https://backloggd.com/search/games/Darkseed%20II/","Backloggd")</x:f>
        <x:v>Backloggd</x:v>
      </x:c>
      <x:c r="BG394" s="11" t="str">
        <x:f>HYPERLINK("https://segaretro.org/Dark_Seed_II","Sega Retro")</x:f>
        <x:v>Sega Retro</x:v>
      </x:c>
      <x:c r="BH394" s="9"/>
      <x:c r="BI394" s="12" t="str">
        <x:v>No</x:v>
      </x:c>
      <x:c r="BJ394" s="12" t="str"/>
      <x:c r="BK394" s="12" t="str">
        <x:v>No</x:v>
      </x:c>
      <x:c r="BL394" s="12" t="str"/>
      <x:c r="BM394" s="12" t="str"/>
      <x:c r="BN394" s="12" t="str"/>
      <x:c r="BO394" s="12" t="str"/>
      <x:c r="BP394" s="12" t="str"/>
      <x:c r="BQ394" s="12" t="str"/>
    </x:row>
    <x:row r="395">
      <x:c r="A395" s="9" t="str">
        <x:v>saturn-74</x:v>
      </x:c>
      <x:c r="B395" s="9" t="str">
        <x:v>ginga-eiyuu-densetsu</x:v>
      </x:c>
      <x:c r="C395" s="9" t="str">
        <x:v>Sega Saturn</x:v>
      </x:c>
      <x:c r="D395" s="9" t="str">
        <x:v>Ginga Eiyuu Densetsu</x:v>
      </x:c>
      <x:c r="E395" s="9" t="str">
        <x:v>銀河英雄伝説 (Legend of the Galactic Heroes)</x:v>
      </x:c>
      <x:c r="F395" s="9" t="str">
        <x:v>MicroVision</x:v>
      </x:c>
      <x:c r="G395" s="9" t="str">
        <x:v>Tokuma Shoten</x:v>
      </x:c>
      <x:c r="H395" s="9" t="n">
        <x:v>1996</x:v>
      </x:c>
      <x:c r="I395" s="9" t="str">
        <x:v>No</x:v>
      </x:c>
      <x:c r="J395" s="9" t="str">
        <x:v>Yes</x:v>
      </x:c>
      <x:c r="K395" s="9" t="str">
        <x:v>No</x:v>
      </x:c>
      <x:c r="L395" s="9" t="str">
        <x:v>No</x:v>
      </x:c>
      <x:c r="M395" s="9" t="str">
        <x:v>Space strategy</x:v>
      </x:c>
      <x:c r="N395" s="9" t="str">
        <x:v>Animated</x:v>
      </x:c>
      <x:c r="O395" s="9" t="n">
        <x:v>3</x:v>
      </x:c>
      <x:c r="P395" s="9" t="str">
        <x:v>Cutscenes only</x:v>
      </x:c>
      <x:c r="Q395" s="9" t="str">
        <x:v>Released</x:v>
      </x:c>
      <x:c r="R395" s="9" t="str">
        <x:v>Anime/novel license: Legend of the Galactic Heroes (OVA)</x:v>
      </x:c>
      <x:c r="S395" s="9" t="str">
        <x:v>PlayStation (1998); Saturn upgrade Ginga Eiyuu Densetsu Plus (1997)</x:v>
      </x:c>
      <x:c r="T395" s="9" t="str">
        <x:v>—</x:v>
      </x:c>
      <x:c r="U395" s="9" t="n">
        <x:v>1</x:v>
      </x:c>
      <x:c r="V395" s="9" t="str">
        <x:v>Yes</x:v>
      </x:c>
      <x:c r="W395" s="9" t="str">
        <x:v>Standard pad</x:v>
      </x:c>
      <x:c r="X395" s="9" t="str">
        <x:v>Med–High</x:v>
      </x:c>
      <x:c r="Y395" s="9" t="str">
        <x:v>OVA footage and classical score</x:v>
      </x:c>
      <x:c r="Z395" s="9" t="str">
        <x:v>10+ hr</x:v>
      </x:c>
      <x:c r="AA395" s="9" t="str">
        <x:v>Space-fleet strategy built around clips from the legendary Legend of the Galactic Heroes anime.</x:v>
      </x:c>
      <x:c r="AB395" s="9" t="str">
        <x:v>None known</x:v>
      </x:c>
      <x:c r="AC395" s="9" t="str">
        <x:v>Anime movie clips from the OVA play at story events</x:v>
      </x:c>
      <x:c r="AD395" s="9" t="str">
        <x:v>Hard; Japanese text</x:v>
      </x:c>
      <x:c r="AE395" s="9" t="str">
        <x:v>Follows the first five novels; events can diverge (e.g. the civil war's sides vary)</x:v>
      </x:c>
      <x:c r="AF395" s="9" t="str">
        <x:v>Released 6 December 1996. Closest to the PC Ginga Eiyuu Densetsu III: free galaxy-map invasion with real-time fleet battles. A mid-game civil war always breaks out, with admirals picking sides by affinity.</x:v>
      </x:c>
      <x:c r="AG395" s="9" t="str">
        <x:v>Japan only; Plus (23 Oct 1997) adds anime-cast voices, a scenario mode and harder routes</x:v>
      </x:c>
      <x:c r="AH395" s="9" t="str">
        <x:v>No</x:v>
      </x:c>
      <x:c r="AI395" s="9" t="str">
        <x:v>Import</x:v>
      </x:c>
      <x:c r="AJ395" s="9"/>
      <x:c r="AK395" s="9" t="str">
        <x:v>Saturn release and anime event movies confirmed by ja Wikipedia. Plus edition is a separate SKU not yet in the index.</x:v>
      </x:c>
      <x:c r="AL395" s="10" t="n">
        <x:v>6.09</x:v>
      </x:c>
      <x:c r="AM395" s="10" t="n">
        <x:v>11.99</x:v>
      </x:c>
      <x:c r="AN395" s="10" t="n">
        <x:v>20</x:v>
      </x:c>
      <x:c r="AO395" s="9" t="str">
        <x:v>2026-10-21</x:v>
      </x:c>
      <x:c r="AP395" s="11" t="str">
        <x:f>HYPERLINK("https://www.pricecharting.com/game/jp-sega-saturn/ginga-eiyuu-densetsu","PriceCharting")</x:f>
        <x:v>PriceCharting</x:v>
      </x:c>
      <x:c r="AQ395" s="9"/>
      <x:c r="AR395" s="9"/>
      <x:c r="AS395" s="9"/>
      <x:c r="AT395" s="9"/>
      <x:c r="AU395" s="9"/>
      <x:c r="AV395" s="9"/>
      <x:c r="AW395" s="9"/>
      <x:c r="AX395" s="9"/>
      <x:c r="AY395" s="9"/>
      <x:c r="AZ395" s="9"/>
      <x:c r="BA395" s="11" t="str">
        <x:f>HYPERLINK("https://www.mobygames.com/search/?q=Ginga+Eiyuu+Densetsu","MobyGames")</x:f>
        <x:v>MobyGames</x:v>
      </x:c>
      <x:c r="BB395" s="9"/>
      <x:c r="BC395" s="9"/>
      <x:c r="BD395" s="9"/>
      <x:c r="BE395" s="9"/>
      <x:c r="BF395" s="11" t="str">
        <x:f>HYPERLINK("https://backloggd.com/search/games/Ginga%20Eiyuu%20Densetsu/","Backloggd")</x:f>
        <x:v>Backloggd</x:v>
      </x:c>
      <x:c r="BG395" s="11" t="str">
        <x:f>HYPERLINK("https://segaretro.org/Ginga_Eiyuu_Densetsu","Sega Retro")</x:f>
        <x:v>Sega Retro</x:v>
      </x:c>
      <x:c r="BH395" s="9"/>
      <x:c r="BI395" s="12" t="str">
        <x:v>No</x:v>
      </x:c>
      <x:c r="BJ395" s="12" t="str"/>
      <x:c r="BK395" s="12" t="str">
        <x:v>No</x:v>
      </x:c>
      <x:c r="BL395" s="12" t="str"/>
      <x:c r="BM395" s="12" t="str"/>
      <x:c r="BN395" s="12" t="str"/>
      <x:c r="BO395" s="12" t="str"/>
      <x:c r="BP395" s="12" t="str"/>
      <x:c r="BQ395" s="12" t="str"/>
    </x:row>
    <x:row r="396">
      <x:c r="A396" s="9" t="str">
        <x:v>saturn-75</x:v>
      </x:c>
      <x:c r="B396" s="9" t="str">
        <x:v>magic-knight-rayearth</x:v>
      </x:c>
      <x:c r="C396" s="9" t="str">
        <x:v>Sega Saturn</x:v>
      </x:c>
      <x:c r="D396" s="9" t="str">
        <x:v>Magic Knight Rayearth</x:v>
      </x:c>
      <x:c r="E396" s="9" t="str">
        <x:v>魔法騎士レイアース</x:v>
      </x:c>
      <x:c r="F396" s="9" t="str">
        <x:v>Sega</x:v>
      </x:c>
      <x:c r="G396" s="9" t="str">
        <x:v>Sega (JP), Working Designs (NA)</x:v>
      </x:c>
      <x:c r="H396" s="9" t="n">
        <x:v>1995</x:v>
      </x:c>
      <x:c r="I396" s="9" t="str">
        <x:v>Yes</x:v>
      </x:c>
      <x:c r="J396" s="9" t="str">
        <x:v>Yes</x:v>
      </x:c>
      <x:c r="K396" s="9" t="str">
        <x:v>No</x:v>
      </x:c>
      <x:c r="L396" s="9" t="str">
        <x:v>No</x:v>
      </x:c>
      <x:c r="M396" s="9" t="str">
        <x:v>Action RPG</x:v>
      </x:c>
      <x:c r="N396" s="9" t="str">
        <x:v>Animated</x:v>
      </x:c>
      <x:c r="O396" s="9" t="n">
        <x:v>2</x:v>
      </x:c>
      <x:c r="P396" s="9" t="str">
        <x:v>Cutscenes only</x:v>
      </x:c>
      <x:c r="Q396" s="9" t="str">
        <x:v>Released</x:v>
      </x:c>
      <x:c r="R396" s="9" t="str">
        <x:v>Anime/manga license: Magic Knight Rayearth (CLAMP)</x:v>
      </x:c>
      <x:c r="S396" s="9" t="str">
        <x:v>None</x:v>
      </x:c>
      <x:c r="T396" s="9" t="str">
        <x:v>—</x:v>
      </x:c>
      <x:c r="U396" s="9" t="n">
        <x:v>1</x:v>
      </x:c>
      <x:c r="V396" s="9" t="str">
        <x:v>Yes</x:v>
      </x:c>
      <x:c r="W396" s="9" t="str">
        <x:v>Standard pad</x:v>
      </x:c>
      <x:c r="X396" s="9" t="str">
        <x:v>Med</x:v>
      </x:c>
      <x:c r="Y396" s="9" t="str">
        <x:v>Anime opening footage and song</x:v>
      </x:c>
      <x:c r="Z396" s="9" t="str">
        <x:v>10–15 hr</x:v>
      </x:c>
      <x:c r="AA396" s="9" t="str">
        <x:v>The last US Saturn release (1998), Working Designs' long-delayed localization of Sega's CLAMP action RPG with anime cutscenes.</x:v>
      </x:c>
      <x:c r="AB396" s="9" t="str">
        <x:v>None known</x:v>
      </x:c>
      <x:c r="AC396" s="9" t="str">
        <x:v>Anime FMV opening (Working Designs re-made it for the new English logo) and cutscenes</x:v>
      </x:c>
      <x:c r="AD396" s="9" t="str">
        <x:v>Easy–moderate</x:v>
      </x:c>
      <x:c r="AE396" s="9" t="str">
        <x:v>One ending</x:v>
      </x:c>
      <x:c r="AF396" s="9" t="str">
        <x:v>One of 12 Saturn games shown at the June 1994 Tokyo Toy Show; became the last US Saturn release in 1998. Working Designs rebuilt source code lost in a hard-drive crash and toughened the enemy AI.</x:v>
      </x:c>
      <x:c r="AG396" s="9" t="str">
        <x:v>JP 1995; NA 1998 (standard and limited box with extras)</x:v>
      </x:c>
      <x:c r="AH396" s="9" t="str">
        <x:v>No</x:v>
      </x:c>
      <x:c r="AI396" s="9" t="str">
        <x:v>Expensive</x:v>
      </x:c>
      <x:c r="AJ396" s="9"/>
      <x:c r="AK396" s="9" t="str">
        <x:v>Notable cutscene title. The US release replaced the Japanese theme 'Yuzurenai Negai' with English 'Daring Dreams'.</x:v>
      </x:c>
      <x:c r="AL396" s="10" t="n">
        <x:v>495.53</x:v>
      </x:c>
      <x:c r="AM396" s="10" t="n">
        <x:v>887.88</x:v>
      </x:c>
      <x:c r="AN396" s="10" t="n">
        <x:v>1567.88</x:v>
      </x:c>
      <x:c r="AO396" s="9" t="str">
        <x:v>2026-10-21</x:v>
      </x:c>
      <x:c r="AP396" s="11" t="str">
        <x:f>HYPERLINK("https://www.pricecharting.com/game/sega-saturn/magic-knight-rayearth","PriceCharting")</x:f>
        <x:v>PriceCharting</x:v>
      </x:c>
      <x:c r="AQ396" s="9"/>
      <x:c r="AR396" s="9"/>
      <x:c r="AS396" s="9"/>
      <x:c r="AT396" s="9"/>
      <x:c r="AU396" s="9"/>
      <x:c r="AV396" s="9"/>
      <x:c r="AW396" s="9"/>
      <x:c r="AX396" s="9"/>
      <x:c r="AY396" s="9" t="str">
        <x:v>73%</x:v>
      </x:c>
      <x:c r="AZ396" s="9" t="str">
        <x:v>3.5</x:v>
      </x:c>
      <x:c r="BA396" s="11" t="str">
        <x:f>HYPERLINK("https://www.mobygames.com/search/?q=Magic+Knight+Rayearth","MobyGames")</x:f>
        <x:v>MobyGames</x:v>
      </x:c>
      <x:c r="BB396" s="9" t="str">
        <x:v>74%</x:v>
      </x:c>
      <x:c r="BC396" s="9" t="str">
        <x:v>average of 9 reviews on Wikipedia (Ação Games, EGM, Fam, GI, GSpot, GameFan, Gamers, Sega Saturn Magazine'' (JP), Video Games)</x:v>
      </x:c>
      <x:c r="BD396" s="9" t="str">
        <x:f>HYPERLINK("https://en.wikipedia.org/wiki/Magic_Knight_Rayearth_%28video_game%29","Source")</x:f>
        <x:v>Source</x:v>
      </x:c>
      <x:c r="BE396" s="11" t="str">
        <x:f>HYPERLINK("https://en.wikipedia.org/wiki/Magic_Knight_Rayearth_(video_game)","Wikipedia")</x:f>
        <x:v>Wikipedia</x:v>
      </x:c>
      <x:c r="BF396" s="11" t="str">
        <x:f>HYPERLINK("https://backloggd.com/search/games/Magic%20Knight%20Rayearth/","Backloggd")</x:f>
        <x:v>Backloggd</x:v>
      </x:c>
      <x:c r="BG396" s="11" t="str">
        <x:f>HYPERLINK("https://segaretro.org/Magic_Knight_Rayearth_(Saturn)","Sega Retro")</x:f>
        <x:v>Sega Retro</x:v>
      </x:c>
      <x:c r="BH396" s="9"/>
      <x:c r="BI396" s="12" t="str">
        <x:v>No</x:v>
      </x:c>
      <x:c r="BJ396" s="12" t="str"/>
      <x:c r="BK396" s="12" t="str">
        <x:v>No</x:v>
      </x:c>
      <x:c r="BL396" s="12" t="str"/>
      <x:c r="BM396" s="12" t="str"/>
      <x:c r="BN396" s="12" t="str"/>
      <x:c r="BO396" s="12" t="str"/>
      <x:c r="BP396" s="12" t="str"/>
      <x:c r="BQ396" s="12" t="str"/>
    </x:row>
    <x:row r="397">
      <x:c r="A397" s="9" t="str">
        <x:v>laserdisc-1</x:v>
      </x:c>
      <x:c r="B397" s="9" t="str">
        <x:v>dragons-lair</x:v>
      </x:c>
      <x:c r="C397" s="9" t="str">
        <x:v>Laserdisc arcade</x:v>
      </x:c>
      <x:c r="D397" s="9" t="str">
        <x:v>Dragon's Lair</x:v>
      </x:c>
      <x:c r="E397" s="9" t="str"/>
      <x:c r="F397" s="9" t="str">
        <x:v>Advanced Microcomputer Systems (Rick Dyer); animation by Don Bluth Productions</x:v>
      </x:c>
      <x:c r="G397" s="9" t="str">
        <x:v>Cinematronics (NA); Atari (EU distribution, verify); JP distributor verify</x:v>
      </x:c>
      <x:c r="H397" s="9" t="n">
        <x:v>1983</x:v>
      </x:c>
      <x:c r="I397" s="9" t="str">
        <x:v>Yes</x:v>
      </x:c>
      <x:c r="J397" s="9" t="str">
        <x:v>Yes</x:v>
      </x:c>
      <x:c r="K397" s="9" t="str">
        <x:v>Yes</x:v>
      </x:c>
      <x:c r="L397" s="9" t="str">
        <x:v>No</x:v>
      </x:c>
      <x:c r="M397" s="9" t="str">
        <x:v>Interactive movie / reflex action</x:v>
      </x:c>
      <x:c r="N397" s="9" t="str">
        <x:v>Animated</x:v>
      </x:c>
      <x:c r="O397" s="9" t="n">
        <x:v>10</x:v>
      </x:c>
      <x:c r="P397" s="9" t="str">
        <x:v>Laserdisc arcade</x:v>
      </x:c>
      <x:c r="Q397" s="9" t="str">
        <x:v>Released</x:v>
      </x:c>
      <x:c r="R397" s="9" t="str">
        <x:v>Original production: hand-drawn animation by Don Bluth's studio for the game</x:v>
      </x:c>
      <x:c r="S397" s="9" t="str">
        <x:v>Amiga, Atari ST, MS-DOS, Mac (ReadySoft floppy &amp; CD-ROM), CD-i, Sega CD, 3DO, Jaguar CD, DVD and Blu-ray (Digital Leisure), Game Boy Color, iOS, Android, DSiWare, PS3, Wii and Switch (Dragon's Lair Trilogy), Steam, Arcade1Up cabinet; loose adaptations: Escape from Singe's Castle (C64/CPC/Spectrum), NES and SNES Dragon's Lair</x:v>
      </x:c>
      <x:c r="T397" s="9" t="str">
        <x:v>Dan Molina (Dirk's voice), Vera Lanpher (Daphne's vocals), Michael Rye (narrator)</x:v>
      </x:c>
      <x:c r="U397" s="9" t="n">
        <x:v>1</x:v>
      </x:c>
      <x:c r="V397" s="9" t="str">
        <x:v>No</x:v>
      </x:c>
      <x:c r="W397" s="9" t="str">
        <x:v>Upright cabinet, 4-way joystick + one Sword button; Pioneer PR-7820 (early units) or Pioneer LD-V1000; later Sony LDP replacement kits</x:v>
      </x:c>
      <x:c r="X397" s="9" t="str">
        <x:v>Low–Med</x:v>
      </x:c>
      <x:c r="Y397" s="9" t="str">
        <x:v>Digital Leisure owns the rights and has claimed footage uploads before (verify)</x:v>
      </x:c>
      <x:c r="Z397" s="9" t="str">
        <x:v>About 12 min perfect run</x:v>
      </x:c>
      <x:c r="AA397" s="9" t="str">
        <x:v>The $0.50 cartoon that stopped 1983 arcades cold and one of the three video games held by the Smithsonian.</x:v>
      </x:c>
      <x:c r="AB397" s="9" t="str">
        <x:v>Operator DIP switches: lives, difficulty, unlimited lives / free play (exact switch numbers verify)</x:v>
      </x:c>
      <x:c r="AC397" s="9" t="str">
        <x:v>Full-screen hand-drawn animation from the disc, no overlays; the hardware just seeks to the next scene or a death clip</x:v>
      </x:c>
      <x:c r="AD397" s="9" t="str">
        <x:v>Brutal: one wrong or late input kills Dirk, with no on-screen prompt beyond flashes of light</x:v>
      </x:c>
      <x:c r="AE397" s="9" t="str">
        <x:v>One ending (Dirk rescues Daphne); scene order is randomised and some rooms play mirrored</x:v>
      </x:c>
      <x:c r="AF397" s="9" t="str">
        <x:v>Michael Rye's narrator and Dan Molina's Dirk were studio staff, not hired actors; cabinets famously needed constant laserdisc player repairs.</x:v>
      </x:c>
      <x:c r="AG397" s="9" t="str">
        <x:v>Rev. F/F2 US ROMs; European Atari-built cabinet with different disc revision (verify); Dragon's Lair Enhancement 2.1 community ROM; conversion kits for Space Ace</x:v>
      </x:c>
      <x:c r="AH397" s="9" t="str">
        <x:v>Yes (Digital Leisure DVD/Blu-ray, Steam, Dragon's Lair Trilogy on Switch/PS4/Xbox One, Arcade1Up 3-in-1 cabinet; emulated in Hypseus Singe/Daphne and MAME with the disc image; an arcade disc alone does nothing on a home LD player)</x:v>
      </x:c>
      <x:c r="AI397" s="9" t="str">
        <x:v>Arcade</x:v>
      </x:c>
      <x:c r="AJ397" s="9" t="str">
        <x:v>Cabinets reported at Galloping Ghost Arcade, Brookfield, IL (source 2018-08); Funspot, Laconia, NH (undated source); National Videogame Museum, Frisco, TX (source 2016-01); Press Start, Rapid City, SD (source 2016-01); Arcade 80's, Rochester, NY (undated source); Arkadia Retrocade, Fayetteville, AR (undated source); Arcade Club, Bury / Leeds / Blackpool, UK (source 2024-02). Call ahead: floor lists change. At home: Digital Leisure DVD/Blu-ray, Steam, Dragon's Lair Trilogy on Switch/PS4/Xbox One, Arcade1Up 3-in-1 cabinet; emulated in Hypseus Singe/Daphne and MAME with the disc image; an arcade disc alone does nothing on a home LD player.</x:v>
      </x:c>
      <x:c r="AK397" s="9" t="str">
        <x:v>Year: July 1, 1983 (Wikipedia). Moby page is pooled multi-platform with no arcade critic score.</x:v>
      </x:c>
      <x:c r="AL397" s="10"/>
      <x:c r="AM397" s="10"/>
      <x:c r="AN397" s="10"/>
      <x:c r="AO397" s="9"/>
      <x:c r="AP397" s="9"/>
      <x:c r="AQ397" s="9"/>
      <x:c r="AR397" s="9"/>
      <x:c r="AS397" s="9"/>
      <x:c r="AT397" s="9"/>
      <x:c r="AU397" s="9"/>
      <x:c r="AV397" s="9"/>
      <x:c r="AW397" s="9"/>
      <x:c r="AX397" s="9"/>
      <x:c r="AY397" s="9"/>
      <x:c r="AZ397" s="9" t="str">
        <x:v>3.4</x:v>
      </x:c>
      <x:c r="BA397" s="11" t="str">
        <x:f>HYPERLINK("https://www.mobygames.com/game/arcade/dragons-lair","MobyGames")</x:f>
        <x:v>MobyGames</x:v>
      </x:c>
      <x:c r="BB397" s="9"/>
      <x:c r="BC397" s="9"/>
      <x:c r="BD397" s="9"/>
      <x:c r="BE397" s="11" t="str">
        <x:f>HYPERLINK("https://en.wikipedia.org/wiki/Dragon%27s_Lair","Wikipedia")</x:f>
        <x:v>Wikipedia</x:v>
      </x:c>
      <x:c r="BF397" s="11" t="str">
        <x:f>HYPERLINK("https://backloggd.com/search/games/Dragon%27s%20Lair/","Backloggd")</x:f>
        <x:v>Backloggd</x:v>
      </x:c>
      <x:c r="BG397" s="9"/>
      <x:c r="BH397" s="9"/>
      <x:c r="BI397" s="12" t="str">
        <x:v>No</x:v>
      </x:c>
      <x:c r="BJ397" s="12" t="str"/>
      <x:c r="BK397" s="12" t="str">
        <x:v>No</x:v>
      </x:c>
      <x:c r="BL397" s="12" t="str"/>
      <x:c r="BM397" s="12" t="str"/>
      <x:c r="BN397" s="12" t="str"/>
      <x:c r="BO397" s="12" t="str"/>
      <x:c r="BP397" s="12" t="str"/>
      <x:c r="BQ397" s="12" t="str"/>
    </x:row>
    <x:row r="398">
      <x:c r="A398" s="9" t="str">
        <x:v>laserdisc-2</x:v>
      </x:c>
      <x:c r="B398" s="9" t="str">
        <x:v>space-ace</x:v>
      </x:c>
      <x:c r="C398" s="9" t="str">
        <x:v>Laserdisc arcade</x:v>
      </x:c>
      <x:c r="D398" s="9" t="str">
        <x:v>Space Ace</x:v>
      </x:c>
      <x:c r="E398" s="9" t="str"/>
      <x:c r="F398" s="9" t="str">
        <x:v>Advanced Microcomputer Systems (Rick Dyer); animation by Don Bluth Productions</x:v>
      </x:c>
      <x:c r="G398" s="9" t="str">
        <x:v>Cinematronics</x:v>
      </x:c>
      <x:c r="H398" s="9" t="n">
        <x:v>1983</x:v>
      </x:c>
      <x:c r="I398" s="9" t="str">
        <x:v>Yes</x:v>
      </x:c>
      <x:c r="J398" s="9" t="str">
        <x:v>Yes</x:v>
      </x:c>
      <x:c r="K398" s="9" t="str">
        <x:v>Yes</x:v>
      </x:c>
      <x:c r="L398" s="9" t="str">
        <x:v>No</x:v>
      </x:c>
      <x:c r="M398" s="9" t="str">
        <x:v>Interactive movie / reflex action</x:v>
      </x:c>
      <x:c r="N398" s="9" t="str">
        <x:v>Animated</x:v>
      </x:c>
      <x:c r="O398" s="9" t="n">
        <x:v>10</x:v>
      </x:c>
      <x:c r="P398" s="9" t="str">
        <x:v>Laserdisc arcade</x:v>
      </x:c>
      <x:c r="Q398" s="9" t="str">
        <x:v>Released</x:v>
      </x:c>
      <x:c r="R398" s="9" t="str">
        <x:v>Original production: Don Bluth animation with rotoscoped models</x:v>
      </x:c>
      <x:c r="S398" s="9" t="str">
        <x:v>Amiga, Apple IIGS, Atari ST, MS-DOS, Mac (ReadySoft), CD-i (1993), Sega CD (1994), 3DO, Jaguar CD, DVD and Blu-ray (Digital Leisure), iOS, Android, DSiWare, PS3, Wii and Switch (Dragon's Lair Trilogy), Steam, Arcade1Up; SNES (Absolute, 1994, a different action game)</x:v>
      </x:c>
      <x:c r="T398" s="9" t="str">
        <x:v>Will Finn (Dexter), Jeff Etter (Ace), Lorna Cook (Kimberly), Don Bluth (Borf), Michael Rye (narrator)</x:v>
      </x:c>
      <x:c r="U398" s="9" t="n">
        <x:v>1</x:v>
      </x:c>
      <x:c r="V398" s="9" t="str">
        <x:v>No</x:v>
      </x:c>
      <x:c r="W398" s="9" t="str">
        <x:v>Upright cabinet or Dragon's Lair conversion kit; joystick + Energize button; skill-select buttons; Pioneer LD-V1000 or PR-7820</x:v>
      </x:c>
      <x:c r="X398" s="9" t="str">
        <x:v>Low–Med</x:v>
      </x:c>
      <x:c r="Y398" s="9" t="str">
        <x:v>Digital Leisure-owned footage (verify)</x:v>
      </x:c>
      <x:c r="Z398" s="9" t="str">
        <x:v>About 7–10 min on the hardest level</x:v>
      </x:c>
      <x:c r="AA398" s="9" t="str">
        <x:v>Dragon's Lair in space, with an Energize button that lets you choose whether to fight as Dexter or Ace.</x:v>
      </x:c>
      <x:c r="AB398" s="9" t="str">
        <x:v>Operator DIP switches for lives and difficulty (verify)</x:v>
      </x:c>
      <x:c r="AC398" s="9" t="str">
        <x:v>Full-screen hand-drawn animation, no overlays; some vehicles rotoscoped from physical models</x:v>
      </x:c>
      <x:c r="AD398" s="9" t="str">
        <x:v>Hard; three skill levels (Cadet, Captain, Space Ace) and only Space Ace shows every scene</x:v>
      </x:c>
      <x:c r="AE398" s="9" t="str">
        <x:v>One ending; the Energize choices branch individual scenes</x:v>
      </x:c>
      <x:c r="AF398" s="9" t="str">
        <x:v>Budget about $2.5M; unveiled October 1983, limited December 1983, wide release April 1984; a Saturday Supercade cartoon followed.</x:v>
      </x:c>
      <x:c r="AG398" s="9" t="str">
        <x:v>Dedicated cabinet and DL conversion kit; Space Ace '91 ROM revision (verify)</x:v>
      </x:c>
      <x:c r="AH398" s="9" t="str">
        <x:v>Yes (Digital Leisure DVD/Blu-ray, Steam, Dragon's Lair Trilogy on Switch, Arcade1Up 3-in-1; emulated in Hypseus Singe/Daphne with the disc image)</x:v>
      </x:c>
      <x:c r="AI398" s="9" t="str">
        <x:v>Arcade</x:v>
      </x:c>
      <x:c r="AJ398" s="9" t="str">
        <x:v>Cabinets reported at Galloping Ghost Arcade, Brookfield, IL (source 2018-08); Funspot, Laconia, NH (undated source); Press Start, Rapid City, SD (source 2016-01); Arcade Club, Bury / Leeds / Blackpool, UK (source 2024-02). Call ahead: floor lists change. At home: Digital Leisure DVD/Blu-ray, Steam, Dragon's Lair Trilogy on Switch, Arcade1Up 3-in-1; emulated in Hypseus Singe/Daphne with the disc image.</x:v>
      </x:c>
      <x:c r="AK398" s="9" t="str">
        <x:v>Year 1983 = unveiling and limited release; wide release 1984. JP July 1984, EU April 1984 per Wikipedia infobox.</x:v>
      </x:c>
      <x:c r="AL398" s="10"/>
      <x:c r="AM398" s="10"/>
      <x:c r="AN398" s="10"/>
      <x:c r="AO398" s="9"/>
      <x:c r="AP398" s="9"/>
      <x:c r="AQ398" s="9"/>
      <x:c r="AR398" s="9"/>
      <x:c r="AS398" s="9"/>
      <x:c r="AT398" s="9"/>
      <x:c r="AU398" s="9"/>
      <x:c r="AV398" s="9"/>
      <x:c r="AW398" s="9"/>
      <x:c r="AX398" s="9"/>
      <x:c r="AY398" s="9"/>
      <x:c r="AZ398" s="9"/>
      <x:c r="BA398" s="11" t="str">
        <x:f>HYPERLINK("https://www.mobygames.com/game/6009/space-ace/","MobyGames")</x:f>
        <x:v>MobyGames</x:v>
      </x:c>
      <x:c r="BB398" s="9" t="str">
        <x:v>80%</x:v>
      </x:c>
      <x:c r="BC398" s="9" t="str">
        <x:v>average of 1 review on Wikipedia (Allgame)</x:v>
      </x:c>
      <x:c r="BD398" s="9" t="str">
        <x:f>HYPERLINK("https://en.wikipedia.org/wiki/Space_Ace","Source")</x:f>
        <x:v>Source</x:v>
      </x:c>
      <x:c r="BE398" s="11" t="str">
        <x:f>HYPERLINK("https://en.wikipedia.org/wiki/Space_Ace","Wikipedia")</x:f>
        <x:v>Wikipedia</x:v>
      </x:c>
      <x:c r="BF398" s="11" t="str">
        <x:f>HYPERLINK("https://backloggd.com/search/games/Space%20Ace/","Backloggd")</x:f>
        <x:v>Backloggd</x:v>
      </x:c>
      <x:c r="BG398" s="9"/>
      <x:c r="BH398" s="9"/>
      <x:c r="BI398" s="12" t="str">
        <x:v>No</x:v>
      </x:c>
      <x:c r="BJ398" s="12" t="str"/>
      <x:c r="BK398" s="12" t="str">
        <x:v>No</x:v>
      </x:c>
      <x:c r="BL398" s="12" t="str"/>
      <x:c r="BM398" s="12" t="str"/>
      <x:c r="BN398" s="12" t="str"/>
      <x:c r="BO398" s="12" t="str"/>
      <x:c r="BP398" s="12" t="str"/>
      <x:c r="BQ398" s="12" t="str"/>
    </x:row>
    <x:row r="399">
      <x:c r="A399" s="9" t="str">
        <x:v>laserdisc-3</x:v>
      </x:c>
      <x:c r="B399" s="9" t="str">
        <x:v>dragons-lair-ii-time-warp</x:v>
      </x:c>
      <x:c r="C399" s="9" t="str">
        <x:v>Laserdisc arcade</x:v>
      </x:c>
      <x:c r="D399" s="9" t="str">
        <x:v>Dragon's Lair II: Time Warp</x:v>
      </x:c>
      <x:c r="E399" s="9" t="str"/>
      <x:c r="F399" s="9" t="str">
        <x:v>Sullivan Bluth Interactive (Don Bluth)</x:v>
      </x:c>
      <x:c r="G399" s="9" t="str">
        <x:v>Leland Corporation</x:v>
      </x:c>
      <x:c r="H399" s="9" t="n">
        <x:v>1991</x:v>
      </x:c>
      <x:c r="I399" s="9" t="str">
        <x:v>Yes</x:v>
      </x:c>
      <x:c r="J399" s="9" t="str">
        <x:v>No</x:v>
      </x:c>
      <x:c r="K399" s="9" t="str">
        <x:v>No</x:v>
      </x:c>
      <x:c r="L399" s="9" t="str">
        <x:v>No</x:v>
      </x:c>
      <x:c r="M399" s="9" t="str">
        <x:v>Interactive movie / reflex action</x:v>
      </x:c>
      <x:c r="N399" s="9" t="str">
        <x:v>Animated</x:v>
      </x:c>
      <x:c r="O399" s="9" t="n">
        <x:v>10</x:v>
      </x:c>
      <x:c r="P399" s="9" t="str">
        <x:v>Laserdisc arcade</x:v>
      </x:c>
      <x:c r="Q399" s="9" t="str">
        <x:v>Released</x:v>
      </x:c>
      <x:c r="R399" s="9" t="str">
        <x:v>Original Don Bluth animation, begun 1983 and finished about 1990 ($2.3M, three years of animation)</x:v>
      </x:c>
      <x:c r="S399" s="9" t="str">
        <x:v>Amiga, Atari ST, MS-DOS (ReadySoft, 1990), CD-i (1994), Mac (1996), DVD (1998) and Blu-ray (2009) by Digital Leisure, DSiWare, PS3, iOS, Wii and Switch (Dragon's Lair Trilogy), Steam, Arcade1Up 3-in-1, Apple IIGS (Brutal Deluxe, 2022)</x:v>
      </x:c>
      <x:c r="T399" s="9" t="str">
        <x:v>Michael Rye (narrator); Dan Molina (Dirk, verify)</x:v>
      </x:c>
      <x:c r="U399" s="9" t="n">
        <x:v>1</x:v>
      </x:c>
      <x:c r="V399" s="9" t="str">
        <x:v>No</x:v>
      </x:c>
      <x:c r="W399" s="9" t="str">
        <x:v>Conversion kit for Dragon's Lair/Space Ace cabinets; joystick + Sword button; laserdisc player model verify (Sony LDP-1450 often cited)</x:v>
      </x:c>
      <x:c r="X399" s="9" t="str">
        <x:v>Low–Med</x:v>
      </x:c>
      <x:c r="Y399" s="9" t="str">
        <x:v>Digital Leisure footage; Beethoven-based music cues are public domain</x:v>
      </x:c>
      <x:c r="Z399" s="9" t="str">
        <x:v>About 15–20 min</x:v>
      </x:c>
      <x:c r="AA399" s="9" t="str">
        <x:v>The sequel that took eight years to reach arcades, after laserdisc games were already dead.</x:v>
      </x:c>
      <x:c r="AB399" s="9" t="str">
        <x:v>Operator settings for lives/difficulty (verify)</x:v>
      </x:c>
      <x:c r="AC399" s="9" t="str">
        <x:v>Full-screen hand-drawn animation, no overlays; adds treasure-collecting inputs during scenes</x:v>
      </x:c>
      <x:c r="AD399" s="9" t="str">
        <x:v>Hard; similar memorisation to the original, slightly more forgiving</x:v>
      </x:c>
      <x:c r="AE399" s="9" t="str">
        <x:v>One ending; Director's Cut restores an alternate stage and three unused deaths</x:v>
      </x:c>
      <x:c r="AF399" s="9" t="str">
        <x:v>Home computer versions came out first (1990) because the arcade cut was unreleased; they were built from a VHS tape.</x:v>
      </x:c>
      <x:c r="AG399" s="9" t="str">
        <x:v>Arcade ROM revisions (a US v3.16 is rumoured, unconfirmed); Director's Cut on later Digital Leisure releases</x:v>
      </x:c>
      <x:c r="AH399" s="9" t="str">
        <x:v>Yes (Digital Leisure DVD/Blu-ray, Steam, Dragon's Lair Trilogy on Switch, Arcade1Up; emulated in Hypseus Singe/Daphne with the disc image)</x:v>
      </x:c>
      <x:c r="AI399" s="9" t="str">
        <x:v>Arcade</x:v>
      </x:c>
      <x:c r="AJ399" s="9" t="str">
        <x:v>Cabinets reported at Galloping Ghost Arcade, Brookfield, IL (source 2018-08); Funspot, Laconia, NH (undated source). Call ahead: floor lists change. At home: Digital Leisure DVD/Blu-ray, Steam, Dragon's Lair Trilogy on Switch, Arcade1Up; emulated in Hypseus Singe/Daphne with the disc image.</x:v>
      </x:c>
      <x:c r="AK399" s="9" t="str">
        <x:v>Very few arcade kits were sold in 1991.</x:v>
      </x:c>
      <x:c r="AL399" s="10"/>
      <x:c r="AM399" s="10"/>
      <x:c r="AN399" s="10"/>
      <x:c r="AO399" s="9"/>
      <x:c r="AP399" s="9"/>
      <x:c r="AQ399" s="9"/>
      <x:c r="AR399" s="9"/>
      <x:c r="AS399" s="9"/>
      <x:c r="AT399" s="9"/>
      <x:c r="AU399" s="9"/>
      <x:c r="AV399" s="9"/>
      <x:c r="AW399" s="9"/>
      <x:c r="AX399" s="9"/>
      <x:c r="AY399" s="9"/>
      <x:c r="AZ399" s="9"/>
      <x:c r="BA399" s="11" t="str">
        <x:f>HYPERLINK("https://www.mobygames.com/game/10396/dragons-lair-ii-time-warp/","MobyGames")</x:f>
        <x:v>MobyGames</x:v>
      </x:c>
      <x:c r="BB399" s="9" t="str">
        <x:v>40%</x:v>
      </x:c>
      <x:c r="BC399" s="9" t="str">
        <x:v>average of 1 review on Wikipedia (Allgame)</x:v>
      </x:c>
      <x:c r="BD399" s="9" t="str">
        <x:f>HYPERLINK("https://en.wikipedia.org/wiki/Dragon%27s_Lair_II%3A_Time_Warp","Source")</x:f>
        <x:v>Source</x:v>
      </x:c>
      <x:c r="BE399" s="11" t="str">
        <x:f>HYPERLINK("https://en.wikipedia.org/wiki/Dragon%27s_Lair_II:_Time_Warp","Wikipedia")</x:f>
        <x:v>Wikipedia</x:v>
      </x:c>
      <x:c r="BF399" s="11" t="str">
        <x:f>HYPERLINK("https://backloggd.com/search/games/Dragon%27s%20Lair%20II%3A%20Time%20Warp/","Backloggd")</x:f>
        <x:v>Backloggd</x:v>
      </x:c>
      <x:c r="BG399" s="9"/>
      <x:c r="BH399" s="9"/>
      <x:c r="BI399" s="12" t="str">
        <x:v>No</x:v>
      </x:c>
      <x:c r="BJ399" s="12" t="str"/>
      <x:c r="BK399" s="12" t="str">
        <x:v>No</x:v>
      </x:c>
      <x:c r="BL399" s="12" t="str"/>
      <x:c r="BM399" s="12" t="str"/>
      <x:c r="BN399" s="12" t="str"/>
      <x:c r="BO399" s="12" t="str"/>
      <x:c r="BP399" s="12" t="str"/>
      <x:c r="BQ399" s="12" t="str"/>
    </x:row>
    <x:row r="400">
      <x:c r="A400" s="9" t="str">
        <x:v>laserdisc-4</x:v>
      </x:c>
      <x:c r="B400" s="9" t="str">
        <x:v>cliff-hanger</x:v>
      </x:c>
      <x:c r="C400" s="9" t="str">
        <x:v>Laserdisc arcade</x:v>
      </x:c>
      <x:c r="D400" s="9" t="str">
        <x:v>Cliff Hanger</x:v>
      </x:c>
      <x:c r="E400" s="9" t="str"/>
      <x:c r="F400" s="9" t="str">
        <x:v>Stern Electronics (with Tokyo Movie Shinsha footage)</x:v>
      </x:c>
      <x:c r="G400" s="9" t="str">
        <x:v>Stern Electronics</x:v>
      </x:c>
      <x:c r="H400" s="9" t="n">
        <x:v>1983</x:v>
      </x:c>
      <x:c r="I400" s="9" t="str">
        <x:v>Yes</x:v>
      </x:c>
      <x:c r="J400" s="9" t="str">
        <x:v>No</x:v>
      </x:c>
      <x:c r="K400" s="9" t="str">
        <x:v>No</x:v>
      </x:c>
      <x:c r="L400" s="9" t="str">
        <x:v>No</x:v>
      </x:c>
      <x:c r="M400" s="9" t="str">
        <x:v>Interactive movie / reflex action</x:v>
      </x:c>
      <x:c r="N400" s="9" t="str">
        <x:v>Animated</x:v>
      </x:c>
      <x:c r="O400" s="9" t="n">
        <x:v>10</x:v>
      </x:c>
      <x:c r="P400" s="9" t="str">
        <x:v>Laserdisc arcade</x:v>
      </x:c>
      <x:c r="Q400" s="9" t="str">
        <x:v>Released</x:v>
      </x:c>
      <x:c r="R400" s="9" t="str">
        <x:v>Repurposed anime: Lupin III films The Castle of Cagliostro (1979, Miyazaki) and The Mystery of Mamo (1978), TMS</x:v>
      </x:c>
      <x:c r="S400" s="9" t="str">
        <x:v>None official</x:v>
      </x:c>
      <x:c r="T400" s="9" t="str">
        <x:v>— (English dub voices; names not credited, verify)</x:v>
      </x:c>
      <x:c r="U400" s="9" t="n">
        <x:v>1</x:v>
      </x:c>
      <x:c r="V400" s="9" t="str">
        <x:v>No</x:v>
      </x:c>
      <x:c r="W400" s="9" t="str">
        <x:v>Upright cabinet; joystick + Hand and Feet buttons; Pioneer laserdisc player (PR-8210 / LD-V1000, verify)</x:v>
      </x:c>
      <x:c r="X400" s="9" t="str">
        <x:v>HIGH</x:v>
      </x:c>
      <x:c r="Y400" s="9" t="str">
        <x:v>Lupin III / Castle of Cagliostro footage and score (TMS); Discotek and others hold the film rights</x:v>
      </x:c>
      <x:c r="Z400" s="9" t="str">
        <x:v>About 20–30 min</x:v>
      </x:c>
      <x:c r="AA400" s="9" t="str">
        <x:v>How a lot of Americans first saw Miyazaki: a Lupin III film recut into a Dragon's Lair clone, renamed Cliff.</x:v>
      </x:c>
      <x:c r="AB400" s="9" t="str">
        <x:v>Operator board setting to disable the hanging death scene</x:v>
      </x:c>
      <x:c r="AC400" s="9" t="str">
        <x:v>Full-screen anime footage with text prompts overlaid; the board reads frame numbers off the disc to stay in sync</x:v>
      </x:c>
      <x:c r="AD400" s="9" t="str">
        <x:v>Hard; precise timing on Hand/Feet prompts</x:v>
      </x:c>
      <x:c r="AE400" s="9" t="str">
        <x:v>One ending</x:v>
      </x:c>
      <x:c r="AF400" s="9" t="str">
        <x:v>Appears in The Goonies (1985); Starcade ran a Cliff Hanger special. Discotek dropped it from its Cagliostro Blu-ray because the original contracts were lost.</x:v>
      </x:c>
      <x:c r="AG400" s="9" t="str">
        <x:v>US only; Goal to Go runs on the same hardware</x:v>
      </x:c>
      <x:c r="AH400" s="9" t="str">
        <x:v>Yes (emulated only: Hypseus Singe/Daphne with the disc image; no official re-release because of the Lupin license)</x:v>
      </x:c>
      <x:c r="AI400" s="9" t="str">
        <x:v>Arcade</x:v>
      </x:c>
      <x:c r="AJ400" s="9" t="str">
        <x:v>No public venue found with a dated source; cabinets are mostly with collectors. At home: Emulated only: Hypseus Singe/Daphne with the disc image; no official re-release because of the Lupin license.</x:v>
      </x:c>
      <x:c r="AK400" s="9" t="str">
        <x:v>Released September 1983 (NA).</x:v>
      </x:c>
      <x:c r="AL400" s="10"/>
      <x:c r="AM400" s="10"/>
      <x:c r="AN400" s="10"/>
      <x:c r="AO400" s="9"/>
      <x:c r="AP400" s="9"/>
      <x:c r="AQ400" s="9"/>
      <x:c r="AR400" s="9"/>
      <x:c r="AS400" s="9"/>
      <x:c r="AT400" s="9"/>
      <x:c r="AU400" s="9"/>
      <x:c r="AV400" s="9"/>
      <x:c r="AW400" s="9"/>
      <x:c r="AX400" s="9"/>
      <x:c r="AY400" s="9"/>
      <x:c r="AZ400" s="9"/>
      <x:c r="BA400" s="11" t="str">
        <x:f>HYPERLINK("https://www.mobygames.com/game/64312/cliff-hanger/","MobyGames")</x:f>
        <x:v>MobyGames</x:v>
      </x:c>
      <x:c r="BB400" s="9"/>
      <x:c r="BC400" s="9"/>
      <x:c r="BD400" s="9"/>
      <x:c r="BE400" s="11" t="str">
        <x:f>HYPERLINK("https://en.wikipedia.org/wiki/Cliff_Hanger_(video_game)","Wikipedia")</x:f>
        <x:v>Wikipedia</x:v>
      </x:c>
      <x:c r="BF400" s="11" t="str">
        <x:f>HYPERLINK("https://backloggd.com/search/games/Cliff%20Hanger/","Backloggd")</x:f>
        <x:v>Backloggd</x:v>
      </x:c>
      <x:c r="BG400" s="9"/>
      <x:c r="BH400" s="9"/>
      <x:c r="BI400" s="12" t="str">
        <x:v>No</x:v>
      </x:c>
      <x:c r="BJ400" s="12" t="str"/>
      <x:c r="BK400" s="12" t="str">
        <x:v>No</x:v>
      </x:c>
      <x:c r="BL400" s="12" t="str"/>
      <x:c r="BM400" s="12" t="str"/>
      <x:c r="BN400" s="12" t="str"/>
      <x:c r="BO400" s="12" t="str"/>
      <x:c r="BP400" s="12" t="str"/>
      <x:c r="BQ400" s="12" t="str"/>
    </x:row>
    <x:row r="401">
      <x:c r="A401" s="9" t="str">
        <x:v>laserdisc-5</x:v>
      </x:c>
      <x:c r="B401" s="9" t="str">
        <x:v>begas-battle</x:v>
      </x:c>
      <x:c r="C401" s="9" t="str">
        <x:v>Laserdisc arcade</x:v>
      </x:c>
      <x:c r="D401" s="9" t="str">
        <x:v>Bega's Battle</x:v>
      </x:c>
      <x:c r="E401" s="9" t="str"/>
      <x:c r="F401" s="9" t="str">
        <x:v>Data East</x:v>
      </x:c>
      <x:c r="G401" s="9" t="str">
        <x:v>Data East (JP), Data East USA (NA)</x:v>
      </x:c>
      <x:c r="H401" s="9" t="n">
        <x:v>1983</x:v>
      </x:c>
      <x:c r="I401" s="9" t="str">
        <x:v>Yes</x:v>
      </x:c>
      <x:c r="J401" s="9" t="str">
        <x:v>Yes</x:v>
      </x:c>
      <x:c r="K401" s="9" t="str">
        <x:v>No</x:v>
      </x:c>
      <x:c r="L401" s="9" t="str">
        <x:v>No</x:v>
      </x:c>
      <x:c r="M401" s="9" t="str">
        <x:v>Shoot 'em up</x:v>
      </x:c>
      <x:c r="N401" s="9" t="str">
        <x:v>Animated</x:v>
      </x:c>
      <x:c r="O401" s="9" t="n">
        <x:v>9</x:v>
      </x:c>
      <x:c r="P401" s="9" t="str">
        <x:v>Laserdisc arcade</x:v>
      </x:c>
      <x:c r="Q401" s="9" t="str">
        <x:v>Released</x:v>
      </x:c>
      <x:c r="R401" s="9" t="str">
        <x:v>Repurposed anime: Genma Taisen / Harmagedon (1983, Madhouse, dir. Rintaro; Katsuhiro Otomo character designs)</x:v>
      </x:c>
      <x:c r="S401" s="9" t="str">
        <x:v>Pioneer Palcom MSX laserdisc version (verify)</x:v>
      </x:c>
      <x:c r="T401" s="9" t="str">
        <x:v>—</x:v>
      </x:c>
      <x:c r="U401" s="9" t="n">
        <x:v>1</x:v>
      </x:c>
      <x:c r="V401" s="9" t="str">
        <x:v>No</x:v>
      </x:c>
      <x:c r="W401" s="9" t="str">
        <x:v>Upright cabinet; 8-way joystick + fire, PK Barrier and teleport buttons; Sony laserdisc player (LDP-1000, verify)</x:v>
      </x:c>
      <x:c r="X401" s="9" t="str">
        <x:v>Med–High</x:v>
      </x:c>
      <x:c r="Y401" s="9" t="str">
        <x:v>Harmagedon film footage and music (Kadokawa/Madhouse)</x:v>
      </x:c>
      <x:c r="Z401" s="9" t="str">
        <x:v>About 10–20 min</x:v>
      </x:c>
      <x:c r="AA401" s="9" t="str">
        <x:v>Possibly the first game with anime cutscenes, built from a theatrical film released the same year.</x:v>
      </x:c>
      <x:c r="AB401" s="9" t="str">
        <x:v>None known</x:v>
      </x:c>
      <x:c r="AC401" s="9" t="str">
        <x:v>Full-screen anime footage as backgrounds and cutscenes, with hardware sprites overlaid during shooting stages</x:v>
      </x:c>
      <x:c r="AD401" s="9" t="str">
        <x:v>Hard; harsh difficulty spikes blamed for poor US earnings</x:v>
      </x:c>
      <x:c r="AE401" s="9" t="str">
        <x:v>One ending (verify)</x:v>
      </x:c>
      <x:c r="AF401" s="9" t="str">
        <x:v>About 700 US units; Data East paid operators to convert them to Cobra Command a year later.</x:v>
      </x:c>
      <x:c r="AG401" s="9" t="str">
        <x:v>Japan and US releases; most US cabinets converted to Cobra Command</x:v>
      </x:c>
      <x:c r="AH401" s="9" t="str">
        <x:v>Yes (emulated only: Hypseus Singe/Daphne with the disc image; no official re-release)</x:v>
      </x:c>
      <x:c r="AI401" s="9" t="str">
        <x:v>Arcade</x:v>
      </x:c>
      <x:c r="AJ401" s="9" t="str">
        <x:v>No public venue found with a dated source; cabinets are mostly with collectors. At home: Emulated only: Hypseus Singe/Daphne with the disc image; no official re-release.</x:v>
      </x:c>
      <x:c r="AK401" s="9" t="str">
        <x:v>Data East USA's first laserdisc game, June 1983. Arcade History: https://www.arcade-history.com/game/230/</x:v>
      </x:c>
      <x:c r="AL401" s="10"/>
      <x:c r="AM401" s="10"/>
      <x:c r="AN401" s="10"/>
      <x:c r="AO401" s="9"/>
      <x:c r="AP401" s="9"/>
      <x:c r="AQ401" s="9"/>
      <x:c r="AR401" s="9"/>
      <x:c r="AS401" s="9"/>
      <x:c r="AT401" s="9"/>
      <x:c r="AU401" s="9"/>
      <x:c r="AV401" s="9"/>
      <x:c r="AW401" s="9"/>
      <x:c r="AX401" s="9"/>
      <x:c r="AY401" s="9"/>
      <x:c r="AZ401" s="9"/>
      <x:c r="BA401" s="11" t="str">
        <x:f>HYPERLINK("https://www.mobygames.com/game/104716/begas-battle/","MobyGames")</x:f>
        <x:v>MobyGames</x:v>
      </x:c>
      <x:c r="BB401" s="9"/>
      <x:c r="BC401" s="9"/>
      <x:c r="BD401" s="9"/>
      <x:c r="BE401" s="9"/>
      <x:c r="BF401" s="11" t="str">
        <x:f>HYPERLINK("https://backloggd.com/search/games/Bega%27s%20Battle/","Backloggd")</x:f>
        <x:v>Backloggd</x:v>
      </x:c>
      <x:c r="BG401" s="9"/>
      <x:c r="BH401" s="9"/>
      <x:c r="BI401" s="12" t="str">
        <x:v>No</x:v>
      </x:c>
      <x:c r="BJ401" s="12" t="str"/>
      <x:c r="BK401" s="12" t="str">
        <x:v>No</x:v>
      </x:c>
      <x:c r="BL401" s="12" t="str"/>
      <x:c r="BM401" s="12" t="str"/>
      <x:c r="BN401" s="12" t="str"/>
      <x:c r="BO401" s="12" t="str"/>
      <x:c r="BP401" s="12" t="str"/>
      <x:c r="BQ401" s="12" t="str"/>
    </x:row>
    <x:row r="402">
      <x:c r="A402" s="9" t="str">
        <x:v>laserdisc-6</x:v>
      </x:c>
      <x:c r="B402" s="9" t="str">
        <x:v>cobra-command</x:v>
      </x:c>
      <x:c r="C402" s="9" t="str">
        <x:v>Laserdisc arcade</x:v>
      </x:c>
      <x:c r="D402" s="9" t="str">
        <x:v>Cobra Command</x:v>
      </x:c>
      <x:c r="E402" s="9" t="str">
        <x:v>Thunder Storm (JP)</x:v>
      </x:c>
      <x:c r="F402" s="9" t="str">
        <x:v>Data East (with Toei Animation)</x:v>
      </x:c>
      <x:c r="G402" s="9" t="str">
        <x:v>Data East</x:v>
      </x:c>
      <x:c r="H402" s="9" t="n">
        <x:v>1984</x:v>
      </x:c>
      <x:c r="I402" s="9" t="str">
        <x:v>Yes</x:v>
      </x:c>
      <x:c r="J402" s="9" t="str">
        <x:v>Yes</x:v>
      </x:c>
      <x:c r="K402" s="9" t="str">
        <x:v>No</x:v>
      </x:c>
      <x:c r="L402" s="9" t="str">
        <x:v>No</x:v>
      </x:c>
      <x:c r="M402" s="9" t="str">
        <x:v>Helicopter shooter</x:v>
      </x:c>
      <x:c r="N402" s="9" t="str">
        <x:v>Animated</x:v>
      </x:c>
      <x:c r="O402" s="9" t="n">
        <x:v>9</x:v>
      </x:c>
      <x:c r="P402" s="9" t="str">
        <x:v>Laserdisc arcade</x:v>
      </x:c>
      <x:c r="Q402" s="9" t="str">
        <x:v>Released</x:v>
      </x:c>
      <x:c r="R402" s="9" t="str">
        <x:v>Original Toei Animation footage made for the game</x:v>
      </x:c>
      <x:c r="S402" s="9" t="str">
        <x:v>MSX and Sharp X1 (VHD, as Thunder Storm), Sega CD / Mega-CD (Cobra Command, 1992), PlayStation and Saturn (JP 1995, compilation with Road Blaster), iOS (2009), Windows and X68030 (G-Mode, 2010, JP)</x:v>
      </x:c>
      <x:c r="T402" s="9" t="str">
        <x:v>—</x:v>
      </x:c>
      <x:c r="U402" s="9" t="n">
        <x:v>1</x:v>
      </x:c>
      <x:c r="V402" s="9" t="str">
        <x:v>No</x:v>
      </x:c>
      <x:c r="W402" s="9" t="str">
        <x:v>Cockpit/upright cabinet or Bega's Battle conversion kit; joystick + gun and missile buttons; Pioneer LD-V1000 (US) / Sony LDP-1000 (JP), verify</x:v>
      </x:c>
      <x:c r="X402" s="9" t="str">
        <x:v>Low</x:v>
      </x:c>
      <x:c r="Y402" s="9" t="str"/>
      <x:c r="Z402" s="9" t="str">
        <x:v>About 10 min</x:v>
      </x:c>
      <x:c r="AA402" s="9" t="str">
        <x:v>A Blue Thunder-style gunship over anime cityscapes, designed by the man who went on to make Double Dragon.</x:v>
      </x:c>
      <x:c r="AB402" s="9" t="str">
        <x:v>None known</x:v>
      </x:c>
      <x:c r="AC402" s="9" t="str">
        <x:v>Full-screen animated footage with crosshair and prompt graphics overlaid</x:v>
      </x:c>
      <x:c r="AD402" s="9" t="str">
        <x:v>Moderate; memorise directional dodges and targets</x:v>
      </x:c>
      <x:c r="AE402" s="9" t="str">
        <x:v>One ending</x:v>
      </x:c>
      <x:c r="AF402" s="9" t="str">
        <x:v>Designed by Yoshihisa Kishimoto; the Cobra helicopter cameos in Road Blaster and Double Dragon II. Topped Japan's cockpit charts June–August 1984.</x:v>
      </x:c>
      <x:c r="AG402" s="9" t="str">
        <x:v>Thunder Storm (JP, verify cockpit) vs Cobra Command (US kit); Thunder Storm FX naming on Mega-CD</x:v>
      </x:c>
      <x:c r="AH402" s="9" t="str">
        <x:v>Yes (iOS 2009 version, delisted, verify; JP PS1/Saturn compilation; emulated in Hypseus Singe/Daphne with the disc image)</x:v>
      </x:c>
      <x:c r="AI402" s="9" t="str">
        <x:v>Arcade</x:v>
      </x:c>
      <x:c r="AJ402" s="9" t="str">
        <x:v>Cabinets reported at Galloping Ghost Arcade, Brookfield, IL (source 2018-08). Call ahead: floor lists change. At home: IOS 2009 version, delisted, verify; JP PS1/Saturn compilation; emulated in Hypseus Singe/Daphne with the disc image.</x:v>
      </x:c>
      <x:c r="AK402" s="9" t="str"/>
      <x:c r="AL402" s="10"/>
      <x:c r="AM402" s="10"/>
      <x:c r="AN402" s="10"/>
      <x:c r="AO402" s="9"/>
      <x:c r="AP402" s="9"/>
      <x:c r="AQ402" s="9"/>
      <x:c r="AR402" s="9"/>
      <x:c r="AS402" s="9"/>
      <x:c r="AT402" s="9"/>
      <x:c r="AU402" s="9"/>
      <x:c r="AV402" s="9"/>
      <x:c r="AW402" s="9"/>
      <x:c r="AX402" s="9"/>
      <x:c r="AY402" s="9"/>
      <x:c r="AZ402" s="9"/>
      <x:c r="BA402" s="11" t="str">
        <x:f>HYPERLINK("https://www.mobygames.com/game/26552/cobra-command/","MobyGames")</x:f>
        <x:v>MobyGames</x:v>
      </x:c>
      <x:c r="BB402" s="9"/>
      <x:c r="BC402" s="9"/>
      <x:c r="BD402" s="9"/>
      <x:c r="BE402" s="11" t="str">
        <x:f>HYPERLINK("https://en.wikipedia.org/wiki/Cobra_Command_(1984_video_game)","Wikipedia")</x:f>
        <x:v>Wikipedia</x:v>
      </x:c>
      <x:c r="BF402" s="11" t="str">
        <x:f>HYPERLINK("https://backloggd.com/search/games/Cobra%20Command/","Backloggd")</x:f>
        <x:v>Backloggd</x:v>
      </x:c>
      <x:c r="BG402" s="9"/>
      <x:c r="BH402" s="9"/>
      <x:c r="BI402" s="12" t="str">
        <x:v>No</x:v>
      </x:c>
      <x:c r="BJ402" s="12" t="str"/>
      <x:c r="BK402" s="12" t="str">
        <x:v>No</x:v>
      </x:c>
      <x:c r="BL402" s="12" t="str"/>
      <x:c r="BM402" s="12" t="str"/>
      <x:c r="BN402" s="12" t="str"/>
      <x:c r="BO402" s="12" t="str"/>
      <x:c r="BP402" s="12" t="str"/>
      <x:c r="BQ402" s="12" t="str"/>
    </x:row>
    <x:row r="403">
      <x:c r="A403" s="9" t="str">
        <x:v>laserdisc-7</x:v>
      </x:c>
      <x:c r="B403" s="9" t="str">
        <x:v>road-blaster</x:v>
      </x:c>
      <x:c r="C403" s="9" t="str">
        <x:v>Laserdisc arcade</x:v>
      </x:c>
      <x:c r="D403" s="9" t="str">
        <x:v>Road Blaster</x:v>
      </x:c>
      <x:c r="E403" s="9" t="str">
        <x:v>Road Avenger (Sega CD, West); Road Blaster FX (Mega-CD, JP); Road Prosecutor (LaserActive, NA)</x:v>
      </x:c>
      <x:c r="F403" s="9" t="str">
        <x:v>Data East (with Toei Animation)</x:v>
      </x:c>
      <x:c r="G403" s="9" t="str">
        <x:v>Data East</x:v>
      </x:c>
      <x:c r="H403" s="9" t="n">
        <x:v>1985</x:v>
      </x:c>
      <x:c r="I403" s="9" t="str">
        <x:v>Yes</x:v>
      </x:c>
      <x:c r="J403" s="9" t="str">
        <x:v>Yes</x:v>
      </x:c>
      <x:c r="K403" s="9" t="str">
        <x:v>Yes</x:v>
      </x:c>
      <x:c r="L403" s="9" t="str">
        <x:v>No</x:v>
      </x:c>
      <x:c r="M403" s="9" t="str">
        <x:v>Driving / interactive movie</x:v>
      </x:c>
      <x:c r="N403" s="9" t="str">
        <x:v>Animated</x:v>
      </x:c>
      <x:c r="O403" s="9" t="n">
        <x:v>10</x:v>
      </x:c>
      <x:c r="P403" s="9" t="str">
        <x:v>Laserdisc arcade</x:v>
      </x:c>
      <x:c r="Q403" s="9" t="str">
        <x:v>Released</x:v>
      </x:c>
      <x:c r="R403" s="9" t="str">
        <x:v>Original Toei Animation footage (about 15,000 cels, over 30 min)</x:v>
      </x:c>
      <x:c r="S403" s="9" t="str">
        <x:v>MSX and Sharp X1 (VHD), Sega CD (as Road Avenger) / Mega-CD (as Road Blaster FX), LaserActive Mega-LD (as Road Blaster, JP; Road Prosecutor, NA), PlayStation and Saturn (JP 1995, compilation with Thunder Storm), X68000/Windows (G-Mode), iOS (2011); unofficial SNES MSU-1 and Amiga/CD32</x:v>
      </x:c>
      <x:c r="T403" s="9" t="str">
        <x:v>—</x:v>
      </x:c>
      <x:c r="U403" s="9" t="n">
        <x:v>1</x:v>
      </x:c>
      <x:c r="V403" s="9" t="str">
        <x:v>No</x:v>
      </x:c>
      <x:c r="W403" s="9" t="str">
        <x:v>Upright and cockpit cabinets; steering wheel, accelerator/brake pedals, turbo button; Pioneer LD-V1000 / Sony LDP-1000A (verify)</x:v>
      </x:c>
      <x:c r="X403" s="9" t="str">
        <x:v>Low–Med</x:v>
      </x:c>
      <x:c r="Y403" s="9" t="str">
        <x:v>Rock-synth soundtrack is original; Data East IP now held by G-Mode</x:v>
      </x:c>
      <x:c r="Z403" s="9" t="str">
        <x:v>About 15 min</x:v>
      </x:c>
      <x:c r="AA403" s="9" t="str">
        <x:v>A Mad Max revenge run as an anime car-chase QTE, with the best soundtrack of the laserdisc era.</x:v>
      </x:c>
      <x:c r="AB403" s="9" t="str">
        <x:v>None known</x:v>
      </x:c>
      <x:c r="AC403" s="9" t="str">
        <x:v>Full-screen anime footage with dashboard and arrow prompts overlaid</x:v>
      </x:c>
      <x:c r="AD403" s="9" t="str">
        <x:v>Moderate; prompts are visual and audible</x:v>
      </x:c>
      <x:c r="AE403" s="9" t="str">
        <x:v>One ending</x:v>
      </x:c>
      <x:c r="AF403" s="9" t="str">
        <x:v>Directed by Yoshihisa Kishimoto; non-Japanese titles likely changed to avoid Atari's RoadBlasters. A 3DO port (Turbo Blaster) was prototyped.</x:v>
      </x:c>
      <x:c r="AG403" s="9" t="str">
        <x:v>Upright vs cockpit cabinets; regional ROMs (verify)</x:v>
      </x:c>
      <x:c r="AH403" s="9" t="str">
        <x:v>Yes (emulated in Hypseus Singe/Daphne with the disc image; Sega CD Road Avenger and LaserActive versions are the home routes; iOS 2011, delisted)</x:v>
      </x:c>
      <x:c r="AI403" s="9" t="str">
        <x:v>Arcade</x:v>
      </x:c>
      <x:c r="AJ403" s="9" t="str">
        <x:v>No public venue found with a dated source; cabinets are mostly with collectors. At home: Emulated in Hypseus Singe/Daphne with the disc image; Sega CD Road Avenger and LaserActive versions are the home routes; iOS 2011, delisted.</x:v>
      </x:c>
      <x:c r="AK403" s="9" t="str">
        <x:v>Released August 1, 1985 worldwide per Wikipedia.</x:v>
      </x:c>
      <x:c r="AL403" s="10"/>
      <x:c r="AM403" s="10"/>
      <x:c r="AN403" s="10"/>
      <x:c r="AO403" s="9"/>
      <x:c r="AP403" s="9"/>
      <x:c r="AQ403" s="9"/>
      <x:c r="AR403" s="9"/>
      <x:c r="AS403" s="9"/>
      <x:c r="AT403" s="9"/>
      <x:c r="AU403" s="9"/>
      <x:c r="AV403" s="9"/>
      <x:c r="AW403" s="9"/>
      <x:c r="AX403" s="9"/>
      <x:c r="AY403" s="9"/>
      <x:c r="AZ403" s="9"/>
      <x:c r="BA403" s="11" t="str">
        <x:f>HYPERLINK("https://www.mobygames.com/search/?q=Road+Blaster","MobyGames")</x:f>
        <x:v>MobyGames</x:v>
      </x:c>
      <x:c r="BB403" s="9"/>
      <x:c r="BC403" s="9"/>
      <x:c r="BD403" s="9"/>
      <x:c r="BE403" s="11" t="str">
        <x:f>HYPERLINK("https://en.wikipedia.org/wiki/Road_Blaster","Wikipedia")</x:f>
        <x:v>Wikipedia</x:v>
      </x:c>
      <x:c r="BF403" s="11" t="str">
        <x:f>HYPERLINK("https://backloggd.com/search/games/Road%20Blaster/","Backloggd")</x:f>
        <x:v>Backloggd</x:v>
      </x:c>
      <x:c r="BG403" s="9"/>
      <x:c r="BH403" s="9"/>
      <x:c r="BI403" s="12" t="str">
        <x:v>No</x:v>
      </x:c>
      <x:c r="BJ403" s="12" t="str"/>
      <x:c r="BK403" s="12" t="str">
        <x:v>No</x:v>
      </x:c>
      <x:c r="BL403" s="12" t="str"/>
      <x:c r="BM403" s="12" t="str"/>
      <x:c r="BN403" s="12" t="str"/>
      <x:c r="BO403" s="12" t="str"/>
      <x:c r="BP403" s="12" t="str"/>
      <x:c r="BQ403" s="12" t="str"/>
    </x:row>
    <x:row r="404">
      <x:c r="A404" s="9" t="str">
        <x:v>laserdisc-8</x:v>
      </x:c>
      <x:c r="B404" s="9" t="str">
        <x:v>time-gal</x:v>
      </x:c>
      <x:c r="C404" s="9" t="str">
        <x:v>Laserdisc arcade</x:v>
      </x:c>
      <x:c r="D404" s="9" t="str">
        <x:v>Time Gal</x:v>
      </x:c>
      <x:c r="E404" s="9" t="str"/>
      <x:c r="F404" s="9" t="str">
        <x:v>Taito (with Toei Animation)</x:v>
      </x:c>
      <x:c r="G404" s="9" t="str">
        <x:v>Taito</x:v>
      </x:c>
      <x:c r="H404" s="9" t="n">
        <x:v>1985</x:v>
      </x:c>
      <x:c r="I404" s="9" t="str">
        <x:v>No</x:v>
      </x:c>
      <x:c r="J404" s="9" t="str">
        <x:v>Yes</x:v>
      </x:c>
      <x:c r="K404" s="9" t="str">
        <x:v>No</x:v>
      </x:c>
      <x:c r="L404" s="9" t="str">
        <x:v>No</x:v>
      </x:c>
      <x:c r="M404" s="9" t="str">
        <x:v>Interactive movie / reflex action</x:v>
      </x:c>
      <x:c r="N404" s="9" t="str">
        <x:v>Animated</x:v>
      </x:c>
      <x:c r="O404" s="9" t="n">
        <x:v>10</x:v>
      </x:c>
      <x:c r="P404" s="9" t="str">
        <x:v>Laserdisc arcade</x:v>
      </x:c>
      <x:c r="Q404" s="9" t="str">
        <x:v>Released</x:v>
      </x:c>
      <x:c r="R404" s="9" t="str">
        <x:v>Original Toei Animation footage</x:v>
      </x:c>
      <x:c r="S404" s="9" t="str">
        <x:v>MSX (Victor VHD, 1986), Sega CD / Mega-CD (Wolf Team, 1992), Mac (JP 1994), LaserActive Mega-LD (JP 1995), PlayStation and Saturn (Time Gal &amp; Ninja Hayate, JP), iOS/Android (JP 2017), Switch (Taito LD Game Collection, JP 2023; standalone 2025), Steam (2025)</x:v>
      </x:c>
      <x:c r="T404" s="9" t="str">
        <x:v>Yuriko Yamamoto (Reika)</x:v>
      </x:c>
      <x:c r="U404" s="9" t="n">
        <x:v>1</x:v>
      </x:c>
      <x:c r="V404" s="9" t="str">
        <x:v>No</x:v>
      </x:c>
      <x:c r="W404" s="9" t="str">
        <x:v>Upright cabinet; joystick + one button; laserdisc player model verify</x:v>
      </x:c>
      <x:c r="X404" s="9" t="str">
        <x:v>Low</x:v>
      </x:c>
      <x:c r="Y404" s="9" t="str"/>
      <x:c r="Z404" s="9" t="str">
        <x:v>About 15 min</x:v>
      </x:c>
      <x:c r="AA404" s="9" t="str">
        <x:v>Taito's time-hopping heroine whose death animations were so good players lost on purpose.</x:v>
      </x:c>
      <x:c r="AB404" s="9" t="str">
        <x:v>None known</x:v>
      </x:c>
      <x:c r="AC404" s="9" t="str">
        <x:v>Full-screen anime with on-screen flashes showing the correct input; time-stop scenes offer three choices</x:v>
      </x:c>
      <x:c r="AD404" s="9" t="str">
        <x:v>Hard; higher difficulty removes the cues</x:v>
      </x:c>
      <x:c r="AE404" s="9" t="str">
        <x:v>One ending</x:v>
      </x:c>
      <x:c r="AF404" s="9" t="str">
        <x:v>Needed about six times the cels per minute of TV anime; Reika's lines were ad-libbed while she watched the scenes.</x:v>
      </x:c>
      <x:c r="AG404" s="9" t="str">
        <x:v>Japan only in arcades</x:v>
      </x:c>
      <x:c r="AH404" s="9" t="str">
        <x:v>Yes (Steam and Switch HD remaster, 2025; Taito LD Game Collection on Switch, JP 2023; not emulated in Hypseus/Daphne, verify; Singe fan recreation exists)</x:v>
      </x:c>
      <x:c r="AI404" s="9" t="str">
        <x:v>Arcade</x:v>
      </x:c>
      <x:c r="AJ404" s="9" t="str">
        <x:v>No public venue found with a dated source; cabinets are mostly with collectors. At home: Steam and Switch HD remaster, 2025; Taito LD Game Collection on Switch, JP 2023; not emulated in Hypseus/Daphne, verify; Singe fan recreation exists.</x:v>
      </x:c>
      <x:c r="AK404" s="9" t="str"/>
      <x:c r="AL404" s="10"/>
      <x:c r="AM404" s="10"/>
      <x:c r="AN404" s="10"/>
      <x:c r="AO404" s="9"/>
      <x:c r="AP404" s="9"/>
      <x:c r="AQ404" s="9"/>
      <x:c r="AR404" s="9"/>
      <x:c r="AS404" s="9"/>
      <x:c r="AT404" s="9"/>
      <x:c r="AU404" s="9"/>
      <x:c r="AV404" s="9"/>
      <x:c r="AW404" s="9"/>
      <x:c r="AX404" s="9"/>
      <x:c r="AY404" s="9"/>
      <x:c r="AZ404" s="9"/>
      <x:c r="BA404" s="11" t="str">
        <x:f>HYPERLINK("https://www.mobygames.com/game/13496/time-gal/","MobyGames")</x:f>
        <x:v>MobyGames</x:v>
      </x:c>
      <x:c r="BB404" s="9"/>
      <x:c r="BC404" s="9"/>
      <x:c r="BD404" s="9"/>
      <x:c r="BE404" s="11" t="str">
        <x:f>HYPERLINK("https://en.wikipedia.org/wiki/Time_Gal","Wikipedia")</x:f>
        <x:v>Wikipedia</x:v>
      </x:c>
      <x:c r="BF404" s="11" t="str">
        <x:f>HYPERLINK("https://backloggd.com/search/games/Time%20Gal/","Backloggd")</x:f>
        <x:v>Backloggd</x:v>
      </x:c>
      <x:c r="BG404" s="9"/>
      <x:c r="BH404" s="9"/>
      <x:c r="BI404" s="12" t="str">
        <x:v>No</x:v>
      </x:c>
      <x:c r="BJ404" s="12" t="str"/>
      <x:c r="BK404" s="12" t="str">
        <x:v>No</x:v>
      </x:c>
      <x:c r="BL404" s="12" t="str"/>
      <x:c r="BM404" s="12" t="str"/>
      <x:c r="BN404" s="12" t="str"/>
      <x:c r="BO404" s="12" t="str"/>
      <x:c r="BP404" s="12" t="str"/>
      <x:c r="BQ404" s="12" t="str"/>
    </x:row>
    <x:row r="405">
      <x:c r="A405" s="9" t="str">
        <x:v>laserdisc-9</x:v>
      </x:c>
      <x:c r="B405" s="9" t="str">
        <x:v>ninja-hayate</x:v>
      </x:c>
      <x:c r="C405" s="9" t="str">
        <x:v>Laserdisc arcade</x:v>
      </x:c>
      <x:c r="D405" s="9" t="str">
        <x:v>Ninja Hayate</x:v>
      </x:c>
      <x:c r="E405" s="9" t="str">
        <x:v>Revenge of the Ninja (Sega CD)</x:v>
      </x:c>
      <x:c r="F405" s="9" t="str">
        <x:v>Taito (with Toei Animation)</x:v>
      </x:c>
      <x:c r="G405" s="9" t="str">
        <x:v>Taito</x:v>
      </x:c>
      <x:c r="H405" s="9" t="n">
        <x:v>1984</x:v>
      </x:c>
      <x:c r="I405" s="9" t="str">
        <x:v>Yes</x:v>
      </x:c>
      <x:c r="J405" s="9" t="str">
        <x:v>Yes</x:v>
      </x:c>
      <x:c r="K405" s="9" t="str">
        <x:v>No</x:v>
      </x:c>
      <x:c r="L405" s="9" t="str">
        <x:v>No</x:v>
      </x:c>
      <x:c r="M405" s="9" t="str">
        <x:v>Interactive movie / reflex action</x:v>
      </x:c>
      <x:c r="N405" s="9" t="str">
        <x:v>Animated</x:v>
      </x:c>
      <x:c r="O405" s="9" t="n">
        <x:v>10</x:v>
      </x:c>
      <x:c r="P405" s="9" t="str">
        <x:v>Laserdisc arcade</x:v>
      </x:c>
      <x:c r="Q405" s="9" t="str">
        <x:v>Released</x:v>
      </x:c>
      <x:c r="R405" s="9" t="str">
        <x:v>Original Toei Animation footage</x:v>
      </x:c>
      <x:c r="S405" s="9" t="str">
        <x:v>MSX (VHD, verify), Sega CD (as Revenge of the Ninja, 1994), PlayStation and Saturn (Time Gal &amp; Ninja Hayate, JP 1996–97), Switch (Taito LD Game Collection, JP 2023; standalone 2025), Steam (2025)</x:v>
      </x:c>
      <x:c r="T405" s="9" t="str">
        <x:v>—</x:v>
      </x:c>
      <x:c r="U405" s="9" t="n">
        <x:v>1</x:v>
      </x:c>
      <x:c r="V405" s="9" t="str">
        <x:v>No</x:v>
      </x:c>
      <x:c r="W405" s="9" t="str">
        <x:v>Upright cabinet; joystick + one weapon button; laserdisc player model verify</x:v>
      </x:c>
      <x:c r="X405" s="9" t="str">
        <x:v>Low</x:v>
      </x:c>
      <x:c r="Y405" s="9" t="str"/>
      <x:c r="Z405" s="9" t="str">
        <x:v>About 20 min</x:v>
      </x:c>
      <x:c r="AA405" s="9" t="str">
        <x:v>Taito's first laserdisc game: 15 stages of ninja traps in feudal Japan, cued by a warning buzzer.</x:v>
      </x:c>
      <x:c r="AB405" s="9" t="str">
        <x:v>None known</x:v>
      </x:c>
      <x:c r="AC405" s="9" t="str">
        <x:v>Full-screen anime with flashing cues and a warning buzzer; some traps randomised</x:v>
      </x:c>
      <x:c r="AD405" s="9" t="str">
        <x:v>Hard; three difficulty levels</x:v>
      </x:c>
      <x:c r="AE405" s="9" t="str">
        <x:v>One ending</x:v>
      </x:c>
      <x:c r="AF405" s="9" t="str">
        <x:v>Renovation mailed 'Master of the Ninja Arts' diplomas to Sega CD players who proved a hard-mode clear.</x:v>
      </x:c>
      <x:c r="AG405" s="9" t="str">
        <x:v>JP and US arcade releases</x:v>
      </x:c>
      <x:c r="AH405" s="9" t="str">
        <x:v>Yes (Steam and Switch HD remaster, 2025; Taito LD Game Collection on Switch, JP 2023; not emulated in Hypseus/Daphne, verify)</x:v>
      </x:c>
      <x:c r="AI405" s="9" t="str">
        <x:v>Arcade</x:v>
      </x:c>
      <x:c r="AJ405" s="9" t="str">
        <x:v>No public venue found with a dated source; cabinets are mostly with collectors. At home: Steam and Switch HD remaster, 2025; Taito LD Game Collection on Switch, JP 2023; not emulated in Hypseus/Daphne, verify.</x:v>
      </x:c>
      <x:c r="AK405" s="9" t="str">
        <x:v>Arcade December 1984.</x:v>
      </x:c>
      <x:c r="AL405" s="10"/>
      <x:c r="AM405" s="10"/>
      <x:c r="AN405" s="10"/>
      <x:c r="AO405" s="9"/>
      <x:c r="AP405" s="9"/>
      <x:c r="AQ405" s="9"/>
      <x:c r="AR405" s="9"/>
      <x:c r="AS405" s="9"/>
      <x:c r="AT405" s="9"/>
      <x:c r="AU405" s="9"/>
      <x:c r="AV405" s="9"/>
      <x:c r="AW405" s="9"/>
      <x:c r="AX405" s="9"/>
      <x:c r="AY405" s="9"/>
      <x:c r="AZ405" s="9"/>
      <x:c r="BA405" s="11" t="str">
        <x:f>HYPERLINK("https://www.mobygames.com/game/32612/revenge-of-the-ninja/","MobyGames")</x:f>
        <x:v>MobyGames</x:v>
      </x:c>
      <x:c r="BB405" s="9"/>
      <x:c r="BC405" s="9"/>
      <x:c r="BD405" s="9"/>
      <x:c r="BE405" s="11" t="str">
        <x:f>HYPERLINK("https://en.wikipedia.org/wiki/Ninja_Hayate","Wikipedia")</x:f>
        <x:v>Wikipedia</x:v>
      </x:c>
      <x:c r="BF405" s="11" t="str">
        <x:f>HYPERLINK("https://backloggd.com/search/games/Ninja%20Hayate/","Backloggd")</x:f>
        <x:v>Backloggd</x:v>
      </x:c>
      <x:c r="BG405" s="9"/>
      <x:c r="BH405" s="9"/>
      <x:c r="BI405" s="12" t="str">
        <x:v>No</x:v>
      </x:c>
      <x:c r="BJ405" s="12" t="str"/>
      <x:c r="BK405" s="12" t="str">
        <x:v>No</x:v>
      </x:c>
      <x:c r="BL405" s="12" t="str"/>
      <x:c r="BM405" s="12" t="str"/>
      <x:c r="BN405" s="12" t="str"/>
      <x:c r="BO405" s="12" t="str"/>
      <x:c r="BP405" s="12" t="str"/>
      <x:c r="BQ405" s="12" t="str"/>
    </x:row>
    <x:row r="406">
      <x:c r="A406" s="9" t="str">
        <x:v>laserdisc-10</x:v>
      </x:c>
      <x:c r="B406" s="9" t="str">
        <x:v>laser-grand-prix</x:v>
      </x:c>
      <x:c r="C406" s="9" t="str">
        <x:v>Laserdisc arcade</x:v>
      </x:c>
      <x:c r="D406" s="9" t="str">
        <x:v>Laser Grand Prix</x:v>
      </x:c>
      <x:c r="E406" s="9" t="str"/>
      <x:c r="F406" s="9" t="str">
        <x:v>Taito</x:v>
      </x:c>
      <x:c r="G406" s="9" t="str">
        <x:v>Taito (JP), Taito America (NA)</x:v>
      </x:c>
      <x:c r="H406" s="9" t="n">
        <x:v>1983</x:v>
      </x:c>
      <x:c r="I406" s="9" t="str">
        <x:v>Yes</x:v>
      </x:c>
      <x:c r="J406" s="9" t="str">
        <x:v>Yes</x:v>
      </x:c>
      <x:c r="K406" s="9" t="str">
        <x:v>No</x:v>
      </x:c>
      <x:c r="L406" s="9" t="str">
        <x:v>No</x:v>
      </x:c>
      <x:c r="M406" s="9" t="str">
        <x:v>Racing</x:v>
      </x:c>
      <x:c r="N406" s="9" t="str">
        <x:v>Unknown — verify</x:v>
      </x:c>
      <x:c r="O406" s="9" t="n">
        <x:v>9</x:v>
      </x:c>
      <x:c r="P406" s="9" t="str">
        <x:v>Laserdisc arcade</x:v>
      </x:c>
      <x:c r="Q406" s="9" t="str">
        <x:v>Released</x:v>
      </x:c>
      <x:c r="R406" s="9" t="str">
        <x:v>Unknown — verify</x:v>
      </x:c>
      <x:c r="S406" s="9" t="str">
        <x:v>None known</x:v>
      </x:c>
      <x:c r="T406" s="9" t="str">
        <x:v>—</x:v>
      </x:c>
      <x:c r="U406" s="9" t="n">
        <x:v>1</x:v>
      </x:c>
      <x:c r="V406" s="9" t="str">
        <x:v>No</x:v>
      </x:c>
      <x:c r="W406" s="9" t="str">
        <x:v>Upright cabinet; steering wheel, 2-position shifter, 2 pedals; Pioneer LD-V1001 (JP) / LD-V1000 (US)</x:v>
      </x:c>
      <x:c r="X406" s="9" t="str">
        <x:v>Unknown — verify</x:v>
      </x:c>
      <x:c r="Y406" s="9" t="str"/>
      <x:c r="Z406" s="9" t="str">
        <x:v>A few minutes per credit</x:v>
      </x:c>
      <x:c r="AA406" s="9" t="str">
        <x:v>Taito's first laserdisc game: a time-trial drag race into a 70-second Grand Prix.</x:v>
      </x:c>
      <x:c r="AB406" s="9" t="str">
        <x:v>None known</x:v>
      </x:c>
      <x:c r="AC406" s="9" t="str">
        <x:v>Video type verify: KLOV calls it animated; whether track footage is filmed or drawn not confirmed</x:v>
      </x:c>
      <x:c r="AD406" s="9" t="str">
        <x:v>Time-limited; collisions and spins cost time</x:v>
      </x:c>
      <x:c r="AE406" s="9" t="str">
        <x:v>None (score attack)</x:v>
      </x:c>
      <x:c r="AF406" s="9" t="str">
        <x:v>Qualifying is a 400 m drag race; flyers exist for both Japan and the USA dated 1983.</x:v>
      </x:c>
      <x:c r="AG406" s="9" t="str">
        <x:v>Main and alternate ROM sets (Dragon's Lair Project)</x:v>
      </x:c>
      <x:c r="AH406" s="9" t="str">
        <x:v>No (ROMs dumped; MAME has a non-working driver, verify; no home version)</x:v>
      </x:c>
      <x:c r="AI406" s="9" t="str">
        <x:v>Arcade</x:v>
      </x:c>
      <x:c r="AJ406" s="9" t="str">
        <x:v>No public venue found with a dated source; cabinets are mostly with collectors. At home: ROMs dumped; MAME has a non-working driver, verify; no home version.</x:v>
      </x:c>
      <x:c r="AK406" s="9" t="str">
        <x:v>KLOV lists 1984; flyers dated 1983. KLOV: https://www.arcade-museum.com/Videogame/laser-grand-prix</x:v>
      </x:c>
      <x:c r="AL406" s="10"/>
      <x:c r="AM406" s="10"/>
      <x:c r="AN406" s="10"/>
      <x:c r="AO406" s="9"/>
      <x:c r="AP406" s="9"/>
      <x:c r="AQ406" s="9"/>
      <x:c r="AR406" s="9"/>
      <x:c r="AS406" s="9"/>
      <x:c r="AT406" s="9"/>
      <x:c r="AU406" s="9"/>
      <x:c r="AV406" s="9"/>
      <x:c r="AW406" s="9"/>
      <x:c r="AX406" s="9"/>
      <x:c r="AY406" s="9"/>
      <x:c r="AZ406" s="9"/>
      <x:c r="BA406" s="11" t="str">
        <x:f>HYPERLINK("https://www.mobygames.com/search/?q=Laser+Grand+Prix","MobyGames")</x:f>
        <x:v>MobyGames</x:v>
      </x:c>
      <x:c r="BB406" s="9"/>
      <x:c r="BC406" s="9"/>
      <x:c r="BD406" s="9"/>
      <x:c r="BE406" s="9"/>
      <x:c r="BF406" s="11" t="str">
        <x:f>HYPERLINK("https://backloggd.com/search/games/Laser%20Grand%20Prix/","Backloggd")</x:f>
        <x:v>Backloggd</x:v>
      </x:c>
      <x:c r="BG406" s="9"/>
      <x:c r="BH406" s="11" t="str">
        <x:f>HYPERLINK("https://www.arcade-museum.com/Videogame/laser-grand-prix","KLOV")</x:f>
        <x:v>KLOV</x:v>
      </x:c>
      <x:c r="BI406" s="12" t="str">
        <x:v>No</x:v>
      </x:c>
      <x:c r="BJ406" s="12" t="str"/>
      <x:c r="BK406" s="12" t="str">
        <x:v>No</x:v>
      </x:c>
      <x:c r="BL406" s="12" t="str"/>
      <x:c r="BM406" s="12" t="str"/>
      <x:c r="BN406" s="12" t="str"/>
      <x:c r="BO406" s="12" t="str"/>
      <x:c r="BP406" s="12" t="str"/>
      <x:c r="BQ406" s="12" t="str"/>
    </x:row>
    <x:row r="407">
      <x:c r="A407" s="9" t="str">
        <x:v>laserdisc-11</x:v>
      </x:c>
      <x:c r="B407" s="9" t="str">
        <x:v>cosmos-circuit</x:v>
      </x:c>
      <x:c r="C407" s="9" t="str">
        <x:v>Laserdisc arcade</x:v>
      </x:c>
      <x:c r="D407" s="9" t="str">
        <x:v>Cosmos Circuit</x:v>
      </x:c>
      <x:c r="E407" s="9" t="str"/>
      <x:c r="F407" s="9" t="str">
        <x:v>Taito</x:v>
      </x:c>
      <x:c r="G407" s="9" t="str">
        <x:v>Taito</x:v>
      </x:c>
      <x:c r="H407" s="9" t="n">
        <x:v>1984</x:v>
      </x:c>
      <x:c r="I407" s="9" t="str">
        <x:v>No</x:v>
      </x:c>
      <x:c r="J407" s="9" t="str">
        <x:v>Yes</x:v>
      </x:c>
      <x:c r="K407" s="9" t="str">
        <x:v>No</x:v>
      </x:c>
      <x:c r="L407" s="9" t="str">
        <x:v>No</x:v>
      </x:c>
      <x:c r="M407" s="9" t="str">
        <x:v>Futuristic racing</x:v>
      </x:c>
      <x:c r="N407" s="9" t="str">
        <x:v>Pre-rendered CG</x:v>
      </x:c>
      <x:c r="O407" s="9" t="n">
        <x:v>9</x:v>
      </x:c>
      <x:c r="P407" s="9" t="str">
        <x:v>Laserdisc arcade</x:v>
      </x:c>
      <x:c r="Q407" s="9" t="str">
        <x:v>Released</x:v>
      </x:c>
      <x:c r="R407" s="9" t="str">
        <x:v>Original computer-generated track footage (ASCII/Pioneer involvement, verify)</x:v>
      </x:c>
      <x:c r="S407" s="9" t="str">
        <x:v>MSX (Pioneer Palcom PX-7 laserdisc, 1985)</x:v>
      </x:c>
      <x:c r="T407" s="9" t="str">
        <x:v>—</x:v>
      </x:c>
      <x:c r="U407" s="9" t="n">
        <x:v>1</x:v>
      </x:c>
      <x:c r="V407" s="9" t="str">
        <x:v>No</x:v>
      </x:c>
      <x:c r="W407" s="9" t="str">
        <x:v>Upright cabinet; steering wheel, 2-position shifter, 1 pedal; vertical monitor; laserdisc player model unknown</x:v>
      </x:c>
      <x:c r="X407" s="9" t="str">
        <x:v>Low</x:v>
      </x:c>
      <x:c r="Y407" s="9" t="str"/>
      <x:c r="Z407" s="9" t="str">
        <x:v>A few minutes per credit</x:v>
      </x:c>
      <x:c r="AA407" s="9" t="str">
        <x:v>A 1984 anti-gravity racer on pre-rendered CG, years before F-Zero.</x:v>
      </x:c>
      <x:c r="AB407" s="9" t="str">
        <x:v>None known</x:v>
      </x:c>
      <x:c r="AC407" s="9" t="str">
        <x:v>Full-screen pre-rendered CG track with the player's craft as an overlaid sprite (verify)</x:v>
      </x:c>
      <x:c r="AD407" s="9" t="str">
        <x:v>Unknown — verify</x:v>
      </x:c>
      <x:c r="AE407" s="9" t="str">
        <x:v>None (score attack)</x:v>
      </x:c>
      <x:c r="AF407" s="9" t="str">
        <x:v>Often called the first futuristic racing game and one of the first to use pre-rendered 3D graphics.</x:v>
      </x:c>
      <x:c r="AG407" s="9" t="str">
        <x:v>Japan only</x:v>
      </x:c>
      <x:c r="AH407" s="9" t="str">
        <x:v>No (not emulated, verify; the MSX Palcom laserdisc version is the only home route)</x:v>
      </x:c>
      <x:c r="AI407" s="9" t="str">
        <x:v>Arcade</x:v>
      </x:c>
      <x:c r="AJ407" s="9" t="str">
        <x:v>No public venue found with a dated source; cabinets are mostly with collectors. At home: Not emulated, verify; the MSX Palcom laserdisc version is the only home route.</x:v>
      </x:c>
      <x:c r="AK407" s="9" t="str">
        <x:v>Released November 1984 (Giant Bomb). KLOV: https://arcade-museum.com/Videogame/cosmos-circuit</x:v>
      </x:c>
      <x:c r="AL407" s="10"/>
      <x:c r="AM407" s="10"/>
      <x:c r="AN407" s="10"/>
      <x:c r="AO407" s="9"/>
      <x:c r="AP407" s="9"/>
      <x:c r="AQ407" s="9"/>
      <x:c r="AR407" s="9"/>
      <x:c r="AS407" s="9"/>
      <x:c r="AT407" s="9"/>
      <x:c r="AU407" s="9"/>
      <x:c r="AV407" s="9"/>
      <x:c r="AW407" s="9"/>
      <x:c r="AX407" s="9"/>
      <x:c r="AY407" s="9"/>
      <x:c r="AZ407" s="9"/>
      <x:c r="BA407" s="11" t="str">
        <x:f>HYPERLINK("https://www.mobygames.com/search/?q=Cosmos+Circuit","MobyGames")</x:f>
        <x:v>MobyGames</x:v>
      </x:c>
      <x:c r="BB407" s="9"/>
      <x:c r="BC407" s="9"/>
      <x:c r="BD407" s="9"/>
      <x:c r="BE407" s="9"/>
      <x:c r="BF407" s="11" t="str">
        <x:f>HYPERLINK("https://backloggd.com/search/games/Cosmos%20Circuit/","Backloggd")</x:f>
        <x:v>Backloggd</x:v>
      </x:c>
      <x:c r="BG407" s="9"/>
      <x:c r="BH407" s="11" t="str">
        <x:f>HYPERLINK("https://arcade-museum.com/Videogame/cosmos-circuit","KLOV")</x:f>
        <x:v>KLOV</x:v>
      </x:c>
      <x:c r="BI407" s="12" t="str">
        <x:v>No</x:v>
      </x:c>
      <x:c r="BJ407" s="12" t="str"/>
      <x:c r="BK407" s="12" t="str">
        <x:v>No</x:v>
      </x:c>
      <x:c r="BL407" s="12" t="str"/>
      <x:c r="BM407" s="12" t="str"/>
      <x:c r="BN407" s="12" t="str"/>
      <x:c r="BO407" s="12" t="str"/>
      <x:c r="BP407" s="12" t="str"/>
      <x:c r="BQ407" s="12" t="str"/>
    </x:row>
    <x:row r="408">
      <x:c r="A408" s="9" t="str">
        <x:v>laserdisc-12</x:v>
      </x:c>
      <x:c r="B408" s="9" t="str">
        <x:v>space-battleship-yamato-arcade</x:v>
      </x:c>
      <x:c r="C408" s="9" t="str">
        <x:v>Laserdisc arcade</x:v>
      </x:c>
      <x:c r="D408" s="9" t="str">
        <x:v>Space Battleship Yamato</x:v>
      </x:c>
      <x:c r="E408" s="9" t="str">
        <x:v>Uchuu Senkan Yamato; Star Blazers</x:v>
      </x:c>
      <x:c r="F408" s="9" t="str">
        <x:v>Taito</x:v>
      </x:c>
      <x:c r="G408" s="9" t="str">
        <x:v>Taito</x:v>
      </x:c>
      <x:c r="H408" s="9" t="n">
        <x:v>1985</x:v>
      </x:c>
      <x:c r="I408" s="9" t="str">
        <x:v>No</x:v>
      </x:c>
      <x:c r="J408" s="9" t="str">
        <x:v>Yes</x:v>
      </x:c>
      <x:c r="K408" s="9" t="str">
        <x:v>No</x:v>
      </x:c>
      <x:c r="L408" s="9" t="str">
        <x:v>No</x:v>
      </x:c>
      <x:c r="M408" s="9" t="str">
        <x:v>Command shooter / interactive movie</x:v>
      </x:c>
      <x:c r="N408" s="9" t="str">
        <x:v>Animated</x:v>
      </x:c>
      <x:c r="O408" s="9" t="n">
        <x:v>10</x:v>
      </x:c>
      <x:c r="P408" s="9" t="str">
        <x:v>Laserdisc arcade</x:v>
      </x:c>
      <x:c r="Q408" s="9" t="str">
        <x:v>Released</x:v>
      </x:c>
      <x:c r="R408" s="9" t="str">
        <x:v>Final Yamato (1983 film) footage plus new animation made for the game</x:v>
      </x:c>
      <x:c r="S408" s="9" t="str">
        <x:v>Switch (Taito LD Game Collection, JP 2023, first home release; Arcade Game Edition)</x:v>
      </x:c>
      <x:c r="T408" s="9" t="str">
        <x:v>—</x:v>
      </x:c>
      <x:c r="U408" s="9" t="n">
        <x:v>1</x:v>
      </x:c>
      <x:c r="V408" s="9" t="str">
        <x:v>No</x:v>
      </x:c>
      <x:c r="W408" s="9" t="str">
        <x:v>Upright cabinet; joystick + buttons (verify); laserdisc player model verify</x:v>
      </x:c>
      <x:c r="X408" s="9" t="str">
        <x:v>HIGH</x:v>
      </x:c>
      <x:c r="Y408" s="9" t="str">
        <x:v>Space Battleship Yamato / Final Yamato film footage and music</x:v>
      </x:c>
      <x:c r="Z408" s="9" t="str">
        <x:v>About 20 min (verify)</x:v>
      </x:c>
      <x:c r="AA408" s="9" t="str">
        <x:v>Taito turned Final Yamato into a laserdisc arcade game, and it stayed in Japan for 38 years.</x:v>
      </x:c>
      <x:c r="AB408" s="9" t="str">
        <x:v>None known</x:v>
      </x:c>
      <x:c r="AC408" s="9" t="str">
        <x:v>Full-screen anime with firing stages (Astron Belt-style overlays) and Dragon's Lair-style action scenes</x:v>
      </x:c>
      <x:c r="AD408" s="9" t="str">
        <x:v>Unknown — verify</x:v>
      </x:c>
      <x:c r="AE408" s="9" t="str">
        <x:v>Unknown — verify</x:v>
      </x:c>
      <x:c r="AF408" s="9" t="str">
        <x:v>Taito's second laserdisc animation game after Ninja Hayate; left off the 2025 Steam release, possibly for licensing.</x:v>
      </x:c>
      <x:c r="AG408" s="9" t="str">
        <x:v>Japan only</x:v>
      </x:c>
      <x:c r="AH408" s="9" t="str">
        <x:v>Yes (Taito LD Game Collection, Switch, JP only 2023; not on Steam; arcade emulation verify)</x:v>
      </x:c>
      <x:c r="AI408" s="9" t="str">
        <x:v>Arcade</x:v>
      </x:c>
      <x:c r="AJ408" s="9" t="str">
        <x:v>No public venue found with a dated source; cabinets are mostly with collectors. At home: Taito LD Game Collection, Switch, JP only 2023; not on Steam; arcade emulation verify.</x:v>
      </x:c>
      <x:c r="AK408" s="9" t="str">
        <x:v>Daphne's game list has a 'Star Blazer' entry that may be this game (verify).</x:v>
      </x:c>
      <x:c r="AL408" s="10"/>
      <x:c r="AM408" s="10"/>
      <x:c r="AN408" s="10"/>
      <x:c r="AO408" s="9"/>
      <x:c r="AP408" s="9"/>
      <x:c r="AQ408" s="9"/>
      <x:c r="AR408" s="9"/>
      <x:c r="AS408" s="9"/>
      <x:c r="AT408" s="9"/>
      <x:c r="AU408" s="9"/>
      <x:c r="AV408" s="9"/>
      <x:c r="AW408" s="9"/>
      <x:c r="AX408" s="9"/>
      <x:c r="AY408" s="9"/>
      <x:c r="AZ408" s="9"/>
      <x:c r="BA408" s="11" t="str">
        <x:f>HYPERLINK("https://www.mobygames.com/search/?q=Space+Battleship+Yamato","MobyGames")</x:f>
        <x:v>MobyGames</x:v>
      </x:c>
      <x:c r="BB408" s="9"/>
      <x:c r="BC408" s="9"/>
      <x:c r="BD408" s="9"/>
      <x:c r="BE408" s="9"/>
      <x:c r="BF408" s="11" t="str">
        <x:f>HYPERLINK("https://backloggd.com/search/games/Space%20Battleship%20Yamato/","Backloggd")</x:f>
        <x:v>Backloggd</x:v>
      </x:c>
      <x:c r="BG408" s="9"/>
      <x:c r="BH408" s="9"/>
      <x:c r="BI408" s="12" t="str">
        <x:v>No</x:v>
      </x:c>
      <x:c r="BJ408" s="12" t="str"/>
      <x:c r="BK408" s="12" t="str">
        <x:v>No</x:v>
      </x:c>
      <x:c r="BL408" s="12" t="str"/>
      <x:c r="BM408" s="12" t="str"/>
      <x:c r="BN408" s="12" t="str"/>
      <x:c r="BO408" s="12" t="str"/>
      <x:c r="BP408" s="12" t="str"/>
      <x:c r="BQ408" s="12" t="str"/>
    </x:row>
    <x:row r="409">
      <x:c r="A409" s="9" t="str">
        <x:v>laserdisc-13</x:v>
      </x:c>
      <x:c r="B409" s="9" t="str">
        <x:v>thayers-quest</x:v>
      </x:c>
      <x:c r="C409" s="9" t="str">
        <x:v>Laserdisc arcade</x:v>
      </x:c>
      <x:c r="D409" s="9" t="str">
        <x:v>Thayer's Quest</x:v>
      </x:c>
      <x:c r="E409" s="9" t="str"/>
      <x:c r="F409" s="9" t="str">
        <x:v>RDI Video Systems (Rick Dyer)</x:v>
      </x:c>
      <x:c r="G409" s="9" t="str">
        <x:v>RDI Video Systems; Digital Leisure (DVD/PC)</x:v>
      </x:c>
      <x:c r="H409" s="9" t="n">
        <x:v>1984</x:v>
      </x:c>
      <x:c r="I409" s="9" t="str">
        <x:v>Yes</x:v>
      </x:c>
      <x:c r="J409" s="9" t="str">
        <x:v>No</x:v>
      </x:c>
      <x:c r="K409" s="9" t="str">
        <x:v>No</x:v>
      </x:c>
      <x:c r="L409" s="9" t="str">
        <x:v>No</x:v>
      </x:c>
      <x:c r="M409" s="9" t="str">
        <x:v>Adventure</x:v>
      </x:c>
      <x:c r="N409" s="9" t="str">
        <x:v>Animated</x:v>
      </x:c>
      <x:c r="O409" s="9" t="n">
        <x:v>10</x:v>
      </x:c>
      <x:c r="P409" s="9" t="str">
        <x:v>Laserdisc arcade</x:v>
      </x:c>
      <x:c r="Q409" s="9" t="str">
        <x:v>Released</x:v>
      </x:c>
      <x:c r="R409" s="9" t="str">
        <x:v>Original RDI production (animation studio verify)</x:v>
      </x:c>
      <x:c r="S409" s="9" t="str">
        <x:v>Halcyon home laserdisc console (RDI, 1985); reworked as Kingdom: The Far Reaches (PC, 3DO, CD-i, 1995); DVD and CD-ROM (Digital Leisure, 2005)</x:v>
      </x:c>
      <x:c r="T409" s="9" t="str">
        <x:v>—</x:v>
      </x:c>
      <x:c r="U409" s="9" t="n">
        <x:v>1</x:v>
      </x:c>
      <x:c r="V409" s="9" t="str">
        <x:v>No</x:v>
      </x:c>
      <x:c r="W409" s="9" t="str">
        <x:v>Conversion kit for Dragon's Lair/Space Ace cabinets; membrane keypad instead of joystick; Pioneer LD-V1000 / PR-7820</x:v>
      </x:c>
      <x:c r="X409" s="9" t="str">
        <x:v>Low</x:v>
      </x:c>
      <x:c r="Y409" s="9" t="str"/>
      <x:c r="Z409" s="9" t="str">
        <x:v>1–2 hr</x:v>
      </x:c>
      <x:c r="AA409" s="9" t="str">
        <x:v>The first laserdisc adventure with an inventory, built for Rick Dyer's doomed Halcyon home console.</x:v>
      </x:c>
      <x:c r="AB409" s="9" t="str">
        <x:v>None known</x:v>
      </x:c>
      <x:c r="AC409" s="9" t="str">
        <x:v>Full-screen animation with a synthesised RDI computer voice giving hints and score</x:v>
      </x:c>
      <x:c r="AD409" s="9" t="str">
        <x:v>Trial and error; some mistakes lose the game permanently</x:v>
      </x:c>
      <x:c r="AE409" s="9" t="str">
        <x:v>Branching paths, one winning ending</x:v>
      </x:c>
      <x:c r="AF409" s="9" t="str">
        <x:v>Character names were changed for Kingdom because Dyer thought them 'too 70s'.</x:v>
      </x:c>
      <x:c r="AG409" s="9" t="str">
        <x:v>Arcade kit; Halcyon release; Kingdom: The Far Reaches (new voice-over, story, renamed characters, added puzzles)</x:v>
      </x:c>
      <x:c r="AH409" s="9" t="str">
        <x:v>Yes (Digital Leisure DVD plays on a normal DVD player with a remote; emulated in Hypseus Singe/Daphne with the disc image; Halcyon units are extremely rare)</x:v>
      </x:c>
      <x:c r="AI409" s="9" t="str">
        <x:v>Arcade</x:v>
      </x:c>
      <x:c r="AJ409" s="9" t="str">
        <x:v>No public venue found with a dated source; cabinets are mostly with collectors. At home: Digital Leisure DVD plays on a normal DVD player with a remote; emulated in Hypseus Singe/Daphne with the disc image; Halcyon units are extremely rare.</x:v>
      </x:c>
      <x:c r="AK409" s="9" t="str">
        <x:v>Arcade release 1984 (Wikipedia).</x:v>
      </x:c>
      <x:c r="AL409" s="10"/>
      <x:c r="AM409" s="10"/>
      <x:c r="AN409" s="10"/>
      <x:c r="AO409" s="9"/>
      <x:c r="AP409" s="9"/>
      <x:c r="AQ409" s="9"/>
      <x:c r="AR409" s="9"/>
      <x:c r="AS409" s="9"/>
      <x:c r="AT409" s="9"/>
      <x:c r="AU409" s="9"/>
      <x:c r="AV409" s="9"/>
      <x:c r="AW409" s="9"/>
      <x:c r="AX409" s="9"/>
      <x:c r="AY409" s="9"/>
      <x:c r="AZ409" s="9"/>
      <x:c r="BA409" s="11" t="str">
        <x:f>HYPERLINK("https://www.mobygames.com/search/?q=Thayer%27s+Quest","MobyGames")</x:f>
        <x:v>MobyGames</x:v>
      </x:c>
      <x:c r="BB409" s="9"/>
      <x:c r="BC409" s="9"/>
      <x:c r="BD409" s="9"/>
      <x:c r="BE409" s="11" t="str">
        <x:f>HYPERLINK("https://en.wikipedia.org/wiki/Thayer%27s_Quest","Wikipedia")</x:f>
        <x:v>Wikipedia</x:v>
      </x:c>
      <x:c r="BF409" s="11" t="str">
        <x:f>HYPERLINK("https://backloggd.com/search/games/Thayer%27s%20Quest/","Backloggd")</x:f>
        <x:v>Backloggd</x:v>
      </x:c>
      <x:c r="BG409" s="9"/>
      <x:c r="BH409" s="9"/>
      <x:c r="BI409" s="12" t="str">
        <x:v>No</x:v>
      </x:c>
      <x:c r="BJ409" s="12" t="str"/>
      <x:c r="BK409" s="12" t="str">
        <x:v>No</x:v>
      </x:c>
      <x:c r="BL409" s="12" t="str"/>
      <x:c r="BM409" s="12" t="str"/>
      <x:c r="BN409" s="12" t="str"/>
      <x:c r="BO409" s="12" t="str"/>
      <x:c r="BP409" s="12" t="str"/>
      <x:c r="BQ409" s="12" t="str"/>
    </x:row>
    <x:row r="410">
      <x:c r="A410" s="9" t="str">
        <x:v>laserdisc-14</x:v>
      </x:c>
      <x:c r="B410" s="9" t="str">
        <x:v>super-don-quix-ote</x:v>
      </x:c>
      <x:c r="C410" s="9" t="str">
        <x:v>Laserdisc arcade</x:v>
      </x:c>
      <x:c r="D410" s="9" t="str">
        <x:v>Super Don Quix-ote</x:v>
      </x:c>
      <x:c r="E410" s="9" t="str"/>
      <x:c r="F410" s="9" t="str">
        <x:v>Universal</x:v>
      </x:c>
      <x:c r="G410" s="9" t="str">
        <x:v>Universal</x:v>
      </x:c>
      <x:c r="H410" s="9" t="n">
        <x:v>1984</x:v>
      </x:c>
      <x:c r="I410" s="9" t="str">
        <x:v>Yes</x:v>
      </x:c>
      <x:c r="J410" s="9" t="str">
        <x:v>Yes</x:v>
      </x:c>
      <x:c r="K410" s="9" t="str">
        <x:v>Yes</x:v>
      </x:c>
      <x:c r="L410" s="9" t="str">
        <x:v>No</x:v>
      </x:c>
      <x:c r="M410" s="9" t="str">
        <x:v>Interactive movie / reflex action</x:v>
      </x:c>
      <x:c r="N410" s="9" t="str">
        <x:v>Animated</x:v>
      </x:c>
      <x:c r="O410" s="9" t="n">
        <x:v>10</x:v>
      </x:c>
      <x:c r="P410" s="9" t="str">
        <x:v>Laserdisc arcade</x:v>
      </x:c>
      <x:c r="Q410" s="9" t="str">
        <x:v>Released</x:v>
      </x:c>
      <x:c r="R410" s="9" t="str">
        <x:v>Original animated production for the game (studio not confirmed, verify); loosely based on Don Quixote</x:v>
      </x:c>
      <x:c r="S410" s="9" t="str">
        <x:v>None official</x:v>
      </x:c>
      <x:c r="T410" s="9" t="str">
        <x:v>—</x:v>
      </x:c>
      <x:c r="U410" s="9" t="n">
        <x:v>1</x:v>
      </x:c>
      <x:c r="V410" s="9" t="str">
        <x:v>No</x:v>
      </x:c>
      <x:c r="W410" s="9" t="str">
        <x:v>Upright cabinet (Universal System 1); joystick + button; Pioneer LD-V1000 (verify)</x:v>
      </x:c>
      <x:c r="X410" s="9" t="str">
        <x:v>Low</x:v>
      </x:c>
      <x:c r="Y410" s="9" t="str"/>
      <x:c r="Z410" s="9" t="str">
        <x:v>About 10–15 min</x:v>
      </x:c>
      <x:c r="AA410" s="9" t="str">
        <x:v>Universal's knight-and-witch Dragon's Lair rival, with on-screen arrows that told you which way to push.</x:v>
      </x:c>
      <x:c r="AB410" s="9" t="str">
        <x:v>None known</x:v>
      </x:c>
      <x:c r="AC410" s="9" t="str">
        <x:v>Full-screen animation with an overlaid icon showing the timing and direction of each input</x:v>
      </x:c>
      <x:c r="AD410" s="9" t="str">
        <x:v>Moderate; prompts shown</x:v>
      </x:c>
      <x:c r="AE410" s="9" t="str">
        <x:v>One ending (Leona defeated, castle collapses)</x:v>
      </x:c>
      <x:c r="AF410" s="9" t="str">
        <x:v>The only game on Universal System 1; other planned titles were cancelled.</x:v>
      </x:c>
      <x:c r="AG410" s="9" t="str">
        <x:v>EU October 1984, JP November 1984, NA February 1985</x:v>
      </x:c>
      <x:c r="AH410" s="9" t="str">
        <x:v>Yes (emulated only: Hypseus Singe/Daphne with the disc image)</x:v>
      </x:c>
      <x:c r="AI410" s="9" t="str">
        <x:v>Arcade</x:v>
      </x:c>
      <x:c r="AJ410" s="9" t="str">
        <x:v>No public venue found with a dated source; cabinets are mostly with collectors. At home: Emulated only: Hypseus Singe/Daphne with the disc image.</x:v>
      </x:c>
      <x:c r="AK410" s="9" t="str">
        <x:v>KLOV: https://www.arcade-museum.com/Videogame/super-don-quix-ote Arcade History: https://www.arcade-history.com/game/2714/</x:v>
      </x:c>
      <x:c r="AL410" s="10"/>
      <x:c r="AM410" s="10"/>
      <x:c r="AN410" s="10"/>
      <x:c r="AO410" s="9"/>
      <x:c r="AP410" s="9"/>
      <x:c r="AQ410" s="9"/>
      <x:c r="AR410" s="9"/>
      <x:c r="AS410" s="9"/>
      <x:c r="AT410" s="9"/>
      <x:c r="AU410" s="9"/>
      <x:c r="AV410" s="9"/>
      <x:c r="AW410" s="9"/>
      <x:c r="AX410" s="9"/>
      <x:c r="AY410" s="9"/>
      <x:c r="AZ410" s="9"/>
      <x:c r="BA410" s="11" t="str">
        <x:f>HYPERLINK("https://www.mobygames.com/search/?q=Super+Don+Quix-ote","MobyGames")</x:f>
        <x:v>MobyGames</x:v>
      </x:c>
      <x:c r="BB410" s="9"/>
      <x:c r="BC410" s="9"/>
      <x:c r="BD410" s="9"/>
      <x:c r="BE410" s="11" t="str">
        <x:f>HYPERLINK("https://en.wikipedia.org/wiki/Super_Don_Quix-ote","Wikipedia")</x:f>
        <x:v>Wikipedia</x:v>
      </x:c>
      <x:c r="BF410" s="11" t="str">
        <x:f>HYPERLINK("https://backloggd.com/search/games/Super%20Don%20Quix-ote/","Backloggd")</x:f>
        <x:v>Backloggd</x:v>
      </x:c>
      <x:c r="BG410" s="9"/>
      <x:c r="BH410" s="11" t="str">
        <x:f>HYPERLINK("https://www.arcade-museum.com/Videogame/super-don-quix-ote","KLOV")</x:f>
        <x:v>KLOV</x:v>
      </x:c>
      <x:c r="BI410" s="12" t="str">
        <x:v>No</x:v>
      </x:c>
      <x:c r="BJ410" s="12" t="str"/>
      <x:c r="BK410" s="12" t="str">
        <x:v>No</x:v>
      </x:c>
      <x:c r="BL410" s="12" t="str"/>
      <x:c r="BM410" s="12" t="str"/>
      <x:c r="BN410" s="12" t="str"/>
      <x:c r="BO410" s="12" t="str"/>
      <x:c r="BP410" s="12" t="str"/>
      <x:c r="BQ410" s="12" t="str"/>
    </x:row>
    <x:row r="411">
      <x:c r="A411" s="9" t="str">
        <x:v>laserdisc-15</x:v>
      </x:c>
      <x:c r="B411" s="9" t="str">
        <x:v>astron-belt</x:v>
      </x:c>
      <x:c r="C411" s="9" t="str">
        <x:v>Laserdisc arcade</x:v>
      </x:c>
      <x:c r="D411" s="9" t="str">
        <x:v>Astron Belt</x:v>
      </x:c>
      <x:c r="E411" s="9" t="str"/>
      <x:c r="F411" s="9" t="str">
        <x:v>Sega</x:v>
      </x:c>
      <x:c r="G411" s="9" t="str">
        <x:v>Sega (JP), Bally Midway (NA), Taitel Electronics (EU)</x:v>
      </x:c>
      <x:c r="H411" s="9" t="n">
        <x:v>1983</x:v>
      </x:c>
      <x:c r="I411" s="9" t="str">
        <x:v>Yes</x:v>
      </x:c>
      <x:c r="J411" s="9" t="str">
        <x:v>Yes</x:v>
      </x:c>
      <x:c r="K411" s="9" t="str">
        <x:v>Yes</x:v>
      </x:c>
      <x:c r="L411" s="9" t="str">
        <x:v>No</x:v>
      </x:c>
      <x:c r="M411" s="9" t="str">
        <x:v>Rail shooter (space)</x:v>
      </x:c>
      <x:c r="N411" s="9" t="str">
        <x:v>Live-action + CG</x:v>
      </x:c>
      <x:c r="O411" s="9" t="n">
        <x:v>9</x:v>
      </x:c>
      <x:c r="P411" s="9" t="str">
        <x:v>Laserdisc arcade</x:v>
      </x:c>
      <x:c r="Q411" s="9" t="str">
        <x:v>Released</x:v>
      </x:c>
      <x:c r="R411" s="9" t="str">
        <x:v>Original Sega model/effects footage mixed with clips borrowed from Star Trek II: The Wrath of Khan, Battle Beyond the Stars and Message from Space (Toei)</x:v>
      </x:c>
      <x:c r="S411" s="9" t="str">
        <x:v>MSX Pioneer Palcom LaserDisc (PX-V7) home version (as Astron Belt, 1985 — verify year)</x:v>
      </x:c>
      <x:c r="T411" s="9" t="str">
        <x:v>—</x:v>
      </x:c>
      <x:c r="U411" s="9" t="n">
        <x:v>1</x:v>
      </x:c>
      <x:c r="V411" s="9" t="str">
        <x:v>No</x:v>
      </x:c>
      <x:c r="W411" s="9" t="str">
        <x:v>8-way flight stick + fire button; upright (19") or cockpit (25", lit buttons, vibrating seat); Pioneer LD-V1000/LD-V1001 or Hitachi VIP-9500SG/VIP-9550</x:v>
      </x:c>
      <x:c r="X411" s="9" t="str">
        <x:v>Med–High</x:v>
      </x:c>
      <x:c r="Y411" s="9" t="str">
        <x:v>Footage from Star Trek II (Paramount), Battle Beyond the Stars and Message from Space</x:v>
      </x:c>
      <x:c r="Z411" s="9" t="str">
        <x:v>10–20 min</x:v>
      </x:c>
      <x:c r="AA411" s="9" t="str">
        <x:v>The game that kicked off the laserdisc craze at AMOA 1982 — with a Star Trek II explosion hiding in its footage.</x:v>
      </x:c>
      <x:c r="AB411" s="9" t="str">
        <x:v>Operator DIP: starting unlimited-lives timer (default 60 s) adjustable; no codes known</x:v>
      </x:c>
      <x:c r="AC411" s="9" t="str">
        <x:v>Full-screen laserdisc space footage with a real-time sprite ship, shots and enemy fire overlaid (Buck Rogers-style sprites); hit spots per frame stored in ROM</x:v>
      </x:c>
      <x:c r="AD411" s="9" t="str">
        <x:v>Generous 60-second free-play start, then limited lives; collision detection criticized as arbitrary</x:v>
      </x:c>
      <x:c r="AE411" s="9" t="str">
        <x:v>Linear waves ending in command ships; loops</x:v>
      </x:c>
      <x:c r="AF411" s="9" t="str">
        <x:v>Unveiled in Tokyo Sept 1982, a year before Dragon's Lair shipped; Bally Midway's US release slipped to late 1983 for bug fixes, letting Dragon's Lair beat it to market.</x:v>
      </x:c>
      <x:c r="AG411" s="9" t="str">
        <x:v>Upright and cockpit; single-sided Pioneer disc and double-sided Sega disc (interchangeable); Pioneer LDV1000 ROM set; convertible to Star Blazer/Galaxy Ranger by swapping disc, ROMs and sound board</x:v>
      </x:c>
      <x:c r="AH411" s="9" t="str">
        <x:v>Yes (Hypseus Singe/Daphne 'astron' with the disc image; MAME 'astron' driver exists but is marked not working; Pioneer Palcom MSX LaserDisc version; no modern commercial re-release)</x:v>
      </x:c>
      <x:c r="AI411" s="9" t="str">
        <x:v>Arcade</x:v>
      </x:c>
      <x:c r="AJ411" s="9" t="str">
        <x:v>Cabinets reported at Funspot, Laconia, NH (undated source). Call ahead: floor lists change. At home: Hypseus Singe/Daphne 'astron' with the disc image; MAME 'astron' driver exists but is marked not working; Pioneer Palcom MSX LaserDisc version; no modern commercial re-release.</x:v>
      </x:c>
      <x:c r="AK411" s="9" t="str">
        <x:v>Japan flyer May 1983; EU July 1983; NA Oct 1983 (Wikipedia infobox). Hypseus playability level should be tested (verify).</x:v>
      </x:c>
      <x:c r="AL411" s="10"/>
      <x:c r="AM411" s="10"/>
      <x:c r="AN411" s="10"/>
      <x:c r="AO411" s="9"/>
      <x:c r="AP411" s="9"/>
      <x:c r="AQ411" s="9"/>
      <x:c r="AR411" s="9"/>
      <x:c r="AS411" s="9"/>
      <x:c r="AT411" s="9"/>
      <x:c r="AU411" s="9"/>
      <x:c r="AV411" s="9"/>
      <x:c r="AW411" s="9"/>
      <x:c r="AX411" s="9"/>
      <x:c r="AY411" s="9"/>
      <x:c r="AZ411" s="9"/>
      <x:c r="BA411" s="11" t="str">
        <x:f>HYPERLINK("https://www.mobygames.com/search/?q=Astron+Belt","MobyGames")</x:f>
        <x:v>MobyGames</x:v>
      </x:c>
      <x:c r="BB411" s="9"/>
      <x:c r="BC411" s="9"/>
      <x:c r="BD411" s="9"/>
      <x:c r="BE411" s="11" t="str">
        <x:f>HYPERLINK("https://en.wikipedia.org/wiki/Astron_Belt","Wikipedia")</x:f>
        <x:v>Wikipedia</x:v>
      </x:c>
      <x:c r="BF411" s="11" t="str">
        <x:f>HYPERLINK("https://backloggd.com/search/games/Astron%20Belt/","Backloggd")</x:f>
        <x:v>Backloggd</x:v>
      </x:c>
      <x:c r="BG411" s="9"/>
      <x:c r="BH411" s="11" t="str">
        <x:f>HYPERLINK("https://arcade-museum.com/Videogame/astron-belt","KLOV")</x:f>
        <x:v>KLOV</x:v>
      </x:c>
      <x:c r="BI411" s="12" t="str">
        <x:v>No</x:v>
      </x:c>
      <x:c r="BJ411" s="12" t="str"/>
      <x:c r="BK411" s="12" t="str">
        <x:v>No</x:v>
      </x:c>
      <x:c r="BL411" s="12" t="str"/>
      <x:c r="BM411" s="12" t="str"/>
      <x:c r="BN411" s="12" t="str"/>
      <x:c r="BO411" s="12" t="str"/>
      <x:c r="BP411" s="12" t="str"/>
      <x:c r="BQ411" s="12" t="str"/>
    </x:row>
    <x:row r="412">
      <x:c r="A412" s="9" t="str">
        <x:v>laserdisc-16</x:v>
      </x:c>
      <x:c r="B412" s="9" t="str">
        <x:v>star-blazer</x:v>
      </x:c>
      <x:c r="C412" s="9" t="str">
        <x:v>Laserdisc arcade</x:v>
      </x:c>
      <x:c r="D412" s="9" t="str">
        <x:v>Star Blazer</x:v>
      </x:c>
      <x:c r="E412" s="9" t="str">
        <x:v>Galaxy Ranger (NA, Bally Midway)</x:v>
      </x:c>
      <x:c r="F412" s="9" t="str">
        <x:v>Sega</x:v>
      </x:c>
      <x:c r="G412" s="9" t="str">
        <x:v>Sega (JP), Bally Midway (NA, as Galaxy Ranger)</x:v>
      </x:c>
      <x:c r="H412" s="9" t="n">
        <x:v>1983</x:v>
      </x:c>
      <x:c r="I412" s="9" t="str">
        <x:v>Yes</x:v>
      </x:c>
      <x:c r="J412" s="9" t="str">
        <x:v>Yes</x:v>
      </x:c>
      <x:c r="K412" s="9" t="str">
        <x:v>No</x:v>
      </x:c>
      <x:c r="L412" s="9" t="str">
        <x:v>No</x:v>
      </x:c>
      <x:c r="M412" s="9" t="str">
        <x:v>Rail shooter (space)</x:v>
      </x:c>
      <x:c r="N412" s="9" t="str">
        <x:v>Live-action + CG</x:v>
      </x:c>
      <x:c r="O412" s="9" t="n">
        <x:v>9</x:v>
      </x:c>
      <x:c r="P412" s="9" t="str">
        <x:v>Laserdisc arcade</x:v>
      </x:c>
      <x:c r="Q412" s="9" t="str">
        <x:v>Released</x:v>
      </x:c>
      <x:c r="R412" s="9" t="str">
        <x:v>Sega laserdisc footage; KLOV says some comes from Toei's 1978 film Message from Space (verify other sources)</x:v>
      </x:c>
      <x:c r="S412" s="9" t="str">
        <x:v>None</x:v>
      </x:c>
      <x:c r="T412" s="9" t="str">
        <x:v>—</x:v>
      </x:c>
      <x:c r="U412" s="9" t="n">
        <x:v>1</x:v>
      </x:c>
      <x:c r="V412" s="9" t="str">
        <x:v>No</x:v>
      </x:c>
      <x:c r="W412" s="9" t="str">
        <x:v>8-way joystick + 1 fire button; upright; Hitachi VIP-9500SG (Galaxy Ranger) or Pioneer LD-V1000 sets</x:v>
      </x:c>
      <x:c r="X412" s="9" t="str">
        <x:v>Med</x:v>
      </x:c>
      <x:c r="Y412" s="9" t="str">
        <x:v>Message from Space (Toei) film footage</x:v>
      </x:c>
      <x:c r="Z412" s="9" t="str">
        <x:v>10–20 min</x:v>
      </x:c>
      <x:c r="AA412" s="9" t="str">
        <x:v>Astron Belt's sequel, rated the best laserdisc game at the 1983 Tokyo AM Show, then renamed Galaxy Ranger for America.</x:v>
      </x:c>
      <x:c r="AB412" s="9" t="str">
        <x:v>Operator DIP settings only; none known</x:v>
      </x:c>
      <x:c r="AC412" s="9" t="str">
        <x:v>Full-screen laserdisc space/planet footage with sprite ship and enemy fire overlaid, as in Astron Belt</x:v>
      </x:c>
      <x:c r="AD412" s="9" t="str">
        <x:v>First 60 seconds penalty-free, then limited lives; trench waves demand dodging</x:v>
      </x:c>
      <x:c r="AE412" s="9" t="str">
        <x:v>Linear waves ending in command ships; loops</x:v>
      </x:c>
      <x:c r="AF412" s="9" t="str">
        <x:v>Shown at the September 1983 AM Show in Tokyo; Game Machine ranked it the No. 3 upright in Japan in January 1984. Only three surviving US cabinets are logged in KLOV's census.</x:v>
      </x:c>
      <x:c r="AG412" s="9" t="str">
        <x:v>Star Blazer (JP) and Galaxy Ranger (NA); Pioneer LDV1000 sets (MAME galaxyrp, sblazerp); Sega disc part 2005025H; converts to/from Astron Belt by ROM/disc swap</x:v>
      </x:c>
      <x:c r="AH412" s="9" t="str">
        <x:v>Yes (Hypseus Singe/Daphne 'galaxy' and 'blazer' with disc image; MAME galaxyr/sblazerp exist but marked not working; no commercial re-release)</x:v>
      </x:c>
      <x:c r="AI412" s="9" t="str">
        <x:v>Arcade</x:v>
      </x:c>
      <x:c r="AJ412" s="9" t="str">
        <x:v>Cabinets reported at Galloping Ghost Arcade, Brookfield, IL (source 2018-08). Call ahead: floor lists change. At home: Hypseus Singe/Daphne 'galaxy' and 'blazer' with disc image; MAME galaxyr/sblazerp exist but marked not working; no commercial re-release.</x:v>
      </x:c>
      <x:c r="AK412" s="9" t="str">
        <x:v>Shown by Sega at the Tokyo Amusement Machine Show in September 1983; Bally Midway distributed it as Galaxy Ranger in North America in 1984 (Wikipedia, Astron Belt article). No European release is documented.</x:v>
      </x:c>
      <x:c r="AL412" s="10"/>
      <x:c r="AM412" s="10"/>
      <x:c r="AN412" s="10"/>
      <x:c r="AO412" s="9"/>
      <x:c r="AP412" s="9"/>
      <x:c r="AQ412" s="9"/>
      <x:c r="AR412" s="9"/>
      <x:c r="AS412" s="9"/>
      <x:c r="AT412" s="9"/>
      <x:c r="AU412" s="9"/>
      <x:c r="AV412" s="9"/>
      <x:c r="AW412" s="9"/>
      <x:c r="AX412" s="9"/>
      <x:c r="AY412" s="9"/>
      <x:c r="AZ412" s="9"/>
      <x:c r="BA412" s="11" t="str">
        <x:f>HYPERLINK("https://www.mobygames.com/search/?q=Star+Blazer","MobyGames")</x:f>
        <x:v>MobyGames</x:v>
      </x:c>
      <x:c r="BB412" s="9"/>
      <x:c r="BC412" s="9"/>
      <x:c r="BD412" s="9"/>
      <x:c r="BE412" s="11" t="str">
        <x:f>HYPERLINK("https://en.wikipedia.org/wiki/Astron_Belt","Wikipedia")</x:f>
        <x:v>Wikipedia</x:v>
      </x:c>
      <x:c r="BF412" s="11" t="str">
        <x:f>HYPERLINK("https://backloggd.com/search/games/Star%20Blazer/","Backloggd")</x:f>
        <x:v>Backloggd</x:v>
      </x:c>
      <x:c r="BG412" s="9"/>
      <x:c r="BH412" s="11" t="str">
        <x:f>HYPERLINK("https://arcade-museum.com/Videogame/galaxy-ranger","KLOV")</x:f>
        <x:v>KLOV</x:v>
      </x:c>
      <x:c r="BI412" s="12" t="str">
        <x:v>No</x:v>
      </x:c>
      <x:c r="BJ412" s="12" t="str"/>
      <x:c r="BK412" s="12" t="str">
        <x:v>No</x:v>
      </x:c>
      <x:c r="BL412" s="12" t="str"/>
      <x:c r="BM412" s="12" t="str"/>
      <x:c r="BN412" s="12" t="str"/>
      <x:c r="BO412" s="12" t="str"/>
      <x:c r="BP412" s="12" t="str"/>
      <x:c r="BQ412" s="12" t="str"/>
    </x:row>
    <x:row r="413">
      <x:c r="A413" s="9" t="str">
        <x:v>laserdisc-17</x:v>
      </x:c>
      <x:c r="B413" s="9" t="str">
        <x:v>gp-world</x:v>
      </x:c>
      <x:c r="C413" s="9" t="str">
        <x:v>Laserdisc arcade</x:v>
      </x:c>
      <x:c r="D413" s="9" t="str">
        <x:v>GP World</x:v>
      </x:c>
      <x:c r="E413" s="9" t="str"/>
      <x:c r="F413" s="9" t="str">
        <x:v>Sega</x:v>
      </x:c>
      <x:c r="G413" s="9" t="str">
        <x:v>Sega</x:v>
      </x:c>
      <x:c r="H413" s="9" t="n">
        <x:v>1984</x:v>
      </x:c>
      <x:c r="I413" s="9" t="str">
        <x:v>Yes</x:v>
      </x:c>
      <x:c r="J413" s="9" t="str">
        <x:v>Yes</x:v>
      </x:c>
      <x:c r="K413" s="9" t="str">
        <x:v>No</x:v>
      </x:c>
      <x:c r="L413" s="9" t="str">
        <x:v>No</x:v>
      </x:c>
      <x:c r="M413" s="9" t="str">
        <x:v>Racing</x:v>
      </x:c>
      <x:c r="N413" s="9" t="str">
        <x:v>Live-action + CG</x:v>
      </x:c>
      <x:c r="O413" s="9" t="n">
        <x:v>9</x:v>
      </x:c>
      <x:c r="P413" s="9" t="str">
        <x:v>Laserdisc arcade</x:v>
      </x:c>
      <x:c r="Q413" s="9" t="str">
        <x:v>Released</x:v>
      </x:c>
      <x:c r="R413" s="9" t="str">
        <x:v>Original Sega laserdisc track footage (live-action filmed course — verify) with sprite cars overlaid</x:v>
      </x:c>
      <x:c r="S413" s="9" t="str">
        <x:v>SG-1000 and MSX (as GP World, 1985 — conventional sprite versions with no video)</x:v>
      </x:c>
      <x:c r="T413" s="9" t="str">
        <x:v>—</x:v>
      </x:c>
      <x:c r="U413" s="9" t="n">
        <x:v>1</x:v>
      </x:c>
      <x:c r="V413" s="9" t="str">
        <x:v>No</x:v>
      </x:c>
      <x:c r="W413" s="9" t="str">
        <x:v>Steering wheel, 2-position high/low shifter, 2 pedals; large sit-down cabinet with two 21" monitors side by side; Pioneer LD-V1000 (per MAME driver)</x:v>
      </x:c>
      <x:c r="X413" s="9" t="str">
        <x:v>Low</x:v>
      </x:c>
      <x:c r="Y413" s="9" t="str"/>
      <x:c r="Z413" s="9" t="str">
        <x:v>5–15 min</x:v>
      </x:c>
      <x:c r="AA413" s="9" t="str">
        <x:v>Sega's laserdisc Formula racer, with two monitors butted together to fake a widescreen in 1984.</x:v>
      </x:c>
      <x:c r="AB413" s="9" t="str">
        <x:v>None known</x:v>
      </x:c>
      <x:c r="AC413" s="9" t="str">
        <x:v>Full-screen laserdisc road footage with computer-drawn rival cars and HUD overlaid; three selectable tracks</x:v>
      </x:c>
      <x:c r="AD413" s="9" t="str">
        <x:v>Time/position based; rival cars overlaid on fixed video lines (verify)</x:v>
      </x:c>
      <x:c r="AE413" s="9" t="str">
        <x:v>Linear race circuits</x:v>
      </x:c>
      <x:c r="AF413" s="9" t="str">
        <x:v>Credits in the high-score table list Minoru Kanari, Takaya Ida and Makoto Oshitani. Japan November 1984, US July 1985 (Sega Retro).</x:v>
      </x:c>
      <x:c r="AG413" s="9" t="str">
        <x:v>Single dual-monitor sit-down cabinet; no known revisions</x:v>
      </x:c>
      <x:c r="AH413" s="9" t="str">
        <x:v>Yes (Hypseus Singe/Daphne 'gpworld' with disc image; MAME 'gpworld' marked not working; no commercial re-release)</x:v>
      </x:c>
      <x:c r="AI413" s="9" t="str">
        <x:v>Arcade</x:v>
      </x:c>
      <x:c r="AJ413" s="9" t="str">
        <x:v>No public venue found with a dated source; cabinets are mostly with collectors. At home: Hypseus Singe/Daphne 'gpworld' with disc image; MAME 'gpworld' marked not working; no commercial re-release.</x:v>
      </x:c>
      <x:c r="AK413" s="9" t="str">
        <x:v>Footage type unconfirmed — KLOV/Sega Retro pages do not say; verify live-action vs. animated before publishing.</x:v>
      </x:c>
      <x:c r="AL413" s="10"/>
      <x:c r="AM413" s="10"/>
      <x:c r="AN413" s="10"/>
      <x:c r="AO413" s="9"/>
      <x:c r="AP413" s="9"/>
      <x:c r="AQ413" s="9"/>
      <x:c r="AR413" s="9"/>
      <x:c r="AS413" s="9"/>
      <x:c r="AT413" s="9"/>
      <x:c r="AU413" s="9"/>
      <x:c r="AV413" s="9"/>
      <x:c r="AW413" s="9"/>
      <x:c r="AX413" s="9"/>
      <x:c r="AY413" s="9"/>
      <x:c r="AZ413" s="9"/>
      <x:c r="BA413" s="11" t="str">
        <x:f>HYPERLINK("https://www.mobygames.com/search/?q=GP+World","MobyGames")</x:f>
        <x:v>MobyGames</x:v>
      </x:c>
      <x:c r="BB413" s="9"/>
      <x:c r="BC413" s="9"/>
      <x:c r="BD413" s="9"/>
      <x:c r="BE413" s="9"/>
      <x:c r="BF413" s="11" t="str">
        <x:f>HYPERLINK("https://backloggd.com/search/games/GP%20World/","Backloggd")</x:f>
        <x:v>Backloggd</x:v>
      </x:c>
      <x:c r="BG413" s="9"/>
      <x:c r="BH413" s="11" t="str">
        <x:f>HYPERLINK("https://arcade-museum.com/Videogame/gp-world","KLOV")</x:f>
        <x:v>KLOV</x:v>
      </x:c>
      <x:c r="BI413" s="12" t="str">
        <x:v>No</x:v>
      </x:c>
      <x:c r="BJ413" s="12" t="str"/>
      <x:c r="BK413" s="12" t="str">
        <x:v>No</x:v>
      </x:c>
      <x:c r="BL413" s="12" t="str"/>
      <x:c r="BM413" s="12" t="str"/>
      <x:c r="BN413" s="12" t="str"/>
      <x:c r="BO413" s="12" t="str"/>
      <x:c r="BP413" s="12" t="str"/>
      <x:c r="BQ413" s="12" t="str"/>
    </x:row>
    <x:row r="414">
      <x:c r="A414" s="9" t="str">
        <x:v>laserdisc-18</x:v>
      </x:c>
      <x:c r="B414" s="9" t="str">
        <x:v>albegas</x:v>
      </x:c>
      <x:c r="C414" s="9" t="str">
        <x:v>Laserdisc arcade</x:v>
      </x:c>
      <x:c r="D414" s="9" t="str">
        <x:v>Albegas</x:v>
      </x:c>
      <x:c r="E414" s="9" t="str">
        <x:v>Cybernaut; Kousoku Denjin Albegas</x:v>
      </x:c>
      <x:c r="F414" s="9" t="str">
        <x:v>Sega</x:v>
      </x:c>
      <x:c r="G414" s="9" t="str">
        <x:v>Sega</x:v>
      </x:c>
      <x:c r="H414" s="9" t="n">
        <x:v>1984</x:v>
      </x:c>
      <x:c r="I414" s="9" t="str">
        <x:v>No</x:v>
      </x:c>
      <x:c r="J414" s="9" t="str">
        <x:v>Yes</x:v>
      </x:c>
      <x:c r="K414" s="9" t="str">
        <x:v>No</x:v>
      </x:c>
      <x:c r="L414" s="9" t="str">
        <x:v>No</x:v>
      </x:c>
      <x:c r="M414" s="9" t="str">
        <x:v>Shooter</x:v>
      </x:c>
      <x:c r="N414" s="9" t="str">
        <x:v>Animated</x:v>
      </x:c>
      <x:c r="O414" s="9" t="n">
        <x:v>9</x:v>
      </x:c>
      <x:c r="P414" s="9" t="str">
        <x:v>Laserdisc arcade</x:v>
      </x:c>
      <x:c r="Q414" s="9" t="str">
        <x:v>NOT obtainable</x:v>
      </x:c>
      <x:c r="R414" s="9" t="str">
        <x:v>Toei Animation footage for the TV anime Lightspeed Electroid Albegas (1983–84)</x:v>
      </x:c>
      <x:c r="S414" s="9" t="str">
        <x:v>None</x:v>
      </x:c>
      <x:c r="T414" s="9" t="str">
        <x:v>—</x:v>
      </x:c>
      <x:c r="U414" s="9" t="n">
        <x:v>1</x:v>
      </x:c>
      <x:c r="V414" s="9" t="str">
        <x:v>No</x:v>
      </x:c>
      <x:c r="W414" s="9" t="str">
        <x:v>Single-player control panel; upright; laserdisc player model unknown (Sega LaserDisc hardware — verify)</x:v>
      </x:c>
      <x:c r="X414" s="9" t="str">
        <x:v>Med–High</x:v>
      </x:c>
      <x:c r="Y414" s="9" t="str">
        <x:v>Toei anime footage and music</x:v>
      </x:c>
      <x:c r="Z414" s="9" t="str">
        <x:v>Unknown — verify</x:v>
      </x:c>
      <x:c r="AA414" s="9" t="str">
        <x:v>A lost Sega laserdisc shooter built on a giant-robot anime: it shipped in Japan, and nobody has dumped it.</x:v>
      </x:c>
      <x:c r="AB414" s="9" t="str">
        <x:v>None known</x:v>
      </x:c>
      <x:c r="AC414" s="9" t="str">
        <x:v>Laserdisc anime footage with overlaid targets (verify; only clips survive online)</x:v>
      </x:c>
      <x:c r="AD414" s="9" t="str">
        <x:v>Unknown — verify</x:v>
      </x:c>
      <x:c r="AE414" s="9" t="str">
        <x:v>Unknown — verify</x:v>
      </x:c>
      <x:c r="AF414" s="9" t="str">
        <x:v>The anime was once slated by World Events Productions to become 'Gladiator Voltron', which never happened. Wikipedia says Toei made the game's animation.</x:v>
      </x:c>
      <x:c r="AG414" s="9" t="str">
        <x:v>Unknown — verify</x:v>
      </x:c>
      <x:c r="AH414" s="9" t="str">
        <x:v>No (no ROM images are known to exist, so neither MAME nor Hypseus emulates it; only video clips of the disc circulate)</x:v>
      </x:c>
      <x:c r="AI414" s="9" t="str">
        <x:v>Lost</x:v>
      </x:c>
      <x:c r="AJ414" s="9" t="str">
        <x:v>At home: No ROM images are known to exist, so neither MAME nor Hypseus emulates it; only video clips of the disc circulate.</x:v>
      </x:c>
      <x:c r="AK414" s="9" t="str">
        <x:v>Status: shipped — Wikipedia gives a Japan release in March 1984 and Sega called it a limited release; KLOV logs 1985 and one board in a former owner's hands. Marked NOT obtainable because the ROMs are lost (Dragon's Lair Project).</x:v>
      </x:c>
      <x:c r="AL414" s="10"/>
      <x:c r="AM414" s="10"/>
      <x:c r="AN414" s="10"/>
      <x:c r="AO414" s="9"/>
      <x:c r="AP414" s="9"/>
      <x:c r="AQ414" s="9"/>
      <x:c r="AR414" s="9"/>
      <x:c r="AS414" s="9"/>
      <x:c r="AT414" s="9"/>
      <x:c r="AU414" s="9"/>
      <x:c r="AV414" s="9"/>
      <x:c r="AW414" s="9"/>
      <x:c r="AX414" s="9"/>
      <x:c r="AY414" s="9"/>
      <x:c r="AZ414" s="9"/>
      <x:c r="BA414" s="11" t="str">
        <x:f>HYPERLINK("https://www.mobygames.com/search/?q=Albegas","MobyGames")</x:f>
        <x:v>MobyGames</x:v>
      </x:c>
      <x:c r="BB414" s="9"/>
      <x:c r="BC414" s="9"/>
      <x:c r="BD414" s="9"/>
      <x:c r="BE414" s="11" t="str">
        <x:f>HYPERLINK("https://en.wikipedia.org/wiki/Lightspeed_Electroid_Albegas","Wikipedia")</x:f>
        <x:v>Wikipedia</x:v>
      </x:c>
      <x:c r="BF414" s="11" t="str">
        <x:f>HYPERLINK("https://backloggd.com/search/games/Albegas/","Backloggd")</x:f>
        <x:v>Backloggd</x:v>
      </x:c>
      <x:c r="BG414" s="9"/>
      <x:c r="BH414" s="11" t="str">
        <x:f>HYPERLINK("https://www.arcade-museum.com/Videogame/albegas","KLOV")</x:f>
        <x:v>KLOV</x:v>
      </x:c>
      <x:c r="BI414" s="12" t="str">
        <x:v>No</x:v>
      </x:c>
      <x:c r="BJ414" s="12" t="str"/>
      <x:c r="BK414" s="12" t="str">
        <x:v>No</x:v>
      </x:c>
      <x:c r="BL414" s="12" t="str"/>
      <x:c r="BM414" s="12" t="str"/>
      <x:c r="BN414" s="12" t="str"/>
      <x:c r="BO414" s="12" t="str"/>
      <x:c r="BP414" s="12" t="str"/>
      <x:c r="BQ414" s="12" t="str"/>
    </x:row>
    <x:row r="415">
      <x:c r="A415" s="9" t="str">
        <x:v>laserdisc-19</x:v>
      </x:c>
      <x:c r="B415" s="9" t="str">
        <x:v>time-traveler</x:v>
      </x:c>
      <x:c r="C415" s="9" t="str">
        <x:v>Laserdisc arcade</x:v>
      </x:c>
      <x:c r="D415" s="9" t="str">
        <x:v>Time Traveler</x:v>
      </x:c>
      <x:c r="E415" s="9" t="str">
        <x:v>Hologram Time Traveler</x:v>
      </x:c>
      <x:c r="F415" s="9" t="str">
        <x:v>Virtual Image Productions (Rick Dyer)</x:v>
      </x:c>
      <x:c r="G415" s="9" t="str">
        <x:v>Sega</x:v>
      </x:c>
      <x:c r="H415" s="9" t="n">
        <x:v>1991</x:v>
      </x:c>
      <x:c r="I415" s="9" t="str">
        <x:v>Yes</x:v>
      </x:c>
      <x:c r="J415" s="9" t="str">
        <x:v>Yes</x:v>
      </x:c>
      <x:c r="K415" s="9" t="str">
        <x:v>Yes</x:v>
      </x:c>
      <x:c r="L415" s="9" t="str">
        <x:v>No</x:v>
      </x:c>
      <x:c r="M415" s="9" t="str">
        <x:v>Interactive movie (QTE)</x:v>
      </x:c>
      <x:c r="N415" s="9" t="str">
        <x:v>Live-action</x:v>
      </x:c>
      <x:c r="O415" s="9" t="n">
        <x:v>10</x:v>
      </x:c>
      <x:c r="P415" s="9" t="str">
        <x:v>Laserdisc arcade</x:v>
      </x:c>
      <x:c r="Q415" s="9" t="str">
        <x:v>Released</x:v>
      </x:c>
      <x:c r="R415" s="9" t="str">
        <x:v>Original live-action green-screen shoot in San Diego (producer/director Mark E. Watson)</x:v>
      </x:c>
      <x:c r="S415" s="9" t="str">
        <x:v>PC CD-ROM and DVD (as Time Traveler, Digital Leisure 2001, with anaglyph 3-D mode)</x:v>
      </x:c>
      <x:c r="T415" s="9" t="str">
        <x:v>Stephen Wilber (Marshal Gram), LeAnn McVicker (Princess Kyi-La)</x:v>
      </x:c>
      <x:c r="U415" s="9" t="n">
        <x:v>1</x:v>
      </x:c>
      <x:c r="V415" s="9" t="str">
        <x:v>No</x:v>
      </x:c>
      <x:c r="W415" s="9" t="str">
        <x:v>4-way joystick, action button, time-reversal button; 'Micro-theater' cabinet: 20" Sony monitor reflected by a concave mirror (Dentsu optics); Pioneer LD-V4200 or Sony LDP-1450</x:v>
      </x:c>
      <x:c r="X415" s="9" t="str">
        <x:v>Low</x:v>
      </x:c>
      <x:c r="Y415" s="9" t="str"/>
      <x:c r="Z415" s="9" t="str">
        <x:v>15–30 min</x:v>
      </x:c>
      <x:c r="AA415" s="9" t="str">
        <x:v>Sega's 'world's first 3-D holographic video game': a cowboy chases a time-warping villain across seven eras on a floating 5-inch stage.</x:v>
      </x:c>
      <x:c r="AB415" s="9" t="str">
        <x:v>Easter eggs: hold both buttons + joystick down (Dyer dancing with his son) or up (development team) — exact trigger timing verify</x:v>
      </x:c>
      <x:c r="AC415" s="9" t="str">
        <x:v>Full-motion live-action actors keyed on black, reflected as ~5" figures standing on a stage; no overlay graphics</x:v>
      </x:c>
      <x:c r="AD415" s="9" t="str">
        <x:v>Dragon's Lair-style timing; time-reversal cubes and a Hellgate slot-machine gamble soften it</x:v>
      </x:c>
      <x:c r="AE415" s="9" t="str">
        <x:v>Seven randomized time periods; single ending (verify)</x:v>
      </x:c>
      <x:c r="AF415" s="9" t="str">
        <x:v>Budget was $2 million; Digital Leisure claimed $18 million in arcade earnings. The AMOA nominated it for Most Innovative New Technology in 1992.</x:v>
      </x:c>
      <x:c r="AG415" s="9" t="str">
        <x:v>MAME lists two sets (timetrv, timetrv2); Pioneer or Sony player configurations</x:v>
      </x:c>
      <x:c r="AH415" s="9" t="str">
        <x:v>Yes (Digital Leisure 2001 PC CD-ROM and DVD; Hypseus 'timetrav' entry exists but is believed incomplete — verify; MAME 'timetrv' needs player BIOS dumps)</x:v>
      </x:c>
      <x:c r="AI415" s="9" t="str">
        <x:v>Arcade</x:v>
      </x:c>
      <x:c r="AJ415" s="9" t="str">
        <x:v>Cabinets reported at Galloping Ghost Arcade, Brookfield, IL (source 2018-08). Call ahead: floor lists change. At home: Digital Leisure 2001 PC CD-ROM and DVD; Hypseus 'timetrav' entry exists but is believed incomplete — verify; MAME 'timetrv' needs player BIOS dumps.</x:v>
      </x:c>
      <x:c r="AK415" s="9" t="str">
        <x:v>Counted per caller: the image is a laserdisc played through a mirror, not a true hologram. Regions JP/NA confirmed; EU via The One review (verify distribution).</x:v>
      </x:c>
      <x:c r="AL415" s="10"/>
      <x:c r="AM415" s="10"/>
      <x:c r="AN415" s="10"/>
      <x:c r="AO415" s="9"/>
      <x:c r="AP415" s="9"/>
      <x:c r="AQ415" s="9"/>
      <x:c r="AR415" s="9"/>
      <x:c r="AS415" s="9"/>
      <x:c r="AT415" s="9"/>
      <x:c r="AU415" s="9"/>
      <x:c r="AV415" s="9"/>
      <x:c r="AW415" s="9"/>
      <x:c r="AX415" s="9"/>
      <x:c r="AY415" s="9"/>
      <x:c r="AZ415" s="9"/>
      <x:c r="BA415" s="11" t="str">
        <x:f>HYPERLINK("https://www.mobygames.com/search/?q=Time+Traveler","MobyGames")</x:f>
        <x:v>MobyGames</x:v>
      </x:c>
      <x:c r="BB415" s="9"/>
      <x:c r="BC415" s="9"/>
      <x:c r="BD415" s="9"/>
      <x:c r="BE415" s="11" t="str">
        <x:f>HYPERLINK("https://en.wikipedia.org/wiki/Time_Traveler_(video_game)","Wikipedia")</x:f>
        <x:v>Wikipedia</x:v>
      </x:c>
      <x:c r="BF415" s="11" t="str">
        <x:f>HYPERLINK("https://backloggd.com/search/games/Time%20Traveler/","Backloggd")</x:f>
        <x:v>Backloggd</x:v>
      </x:c>
      <x:c r="BG415" s="9"/>
      <x:c r="BH415" s="11" t="str">
        <x:f>HYPERLINK("https://www.arcade-museum.com/Videogame/time-traveler","KLOV")</x:f>
        <x:v>KLOV</x:v>
      </x:c>
      <x:c r="BI415" s="12" t="str">
        <x:v>No</x:v>
      </x:c>
      <x:c r="BJ415" s="12" t="str"/>
      <x:c r="BK415" s="12" t="str">
        <x:v>No</x:v>
      </x:c>
      <x:c r="BL415" s="12" t="str"/>
      <x:c r="BM415" s="12" t="str"/>
      <x:c r="BN415" s="12" t="str"/>
      <x:c r="BO415" s="12" t="str"/>
      <x:c r="BP415" s="12" t="str"/>
      <x:c r="BQ415" s="12" t="str"/>
    </x:row>
    <x:row r="416">
      <x:c r="A416" s="9" t="str">
        <x:v>laserdisc-20</x:v>
      </x:c>
      <x:c r="B416" s="9" t="str">
        <x:v>star-rider</x:v>
      </x:c>
      <x:c r="C416" s="9" t="str">
        <x:v>Laserdisc arcade</x:v>
      </x:c>
      <x:c r="D416" s="9" t="str">
        <x:v>Star Rider</x:v>
      </x:c>
      <x:c r="E416" s="9" t="str"/>
      <x:c r="F416" s="9" t="str">
        <x:v>Williams Electronics with Computer Creations</x:v>
      </x:c>
      <x:c r="G416" s="9" t="str">
        <x:v>Williams</x:v>
      </x:c>
      <x:c r="H416" s="9" t="n">
        <x:v>1983</x:v>
      </x:c>
      <x:c r="I416" s="9" t="str">
        <x:v>Yes</x:v>
      </x:c>
      <x:c r="J416" s="9" t="str">
        <x:v>No</x:v>
      </x:c>
      <x:c r="K416" s="9" t="str">
        <x:v>No</x:v>
      </x:c>
      <x:c r="L416" s="9" t="str">
        <x:v>No</x:v>
      </x:c>
      <x:c r="M416" s="9" t="str">
        <x:v>Racing (futuristic motorcycle)</x:v>
      </x:c>
      <x:c r="N416" s="9" t="str">
        <x:v>Live-action + pre-rendered CG</x:v>
      </x:c>
      <x:c r="O416" s="9" t="n">
        <x:v>9</x:v>
      </x:c>
      <x:c r="P416" s="9" t="str">
        <x:v>Laserdisc arcade</x:v>
      </x:c>
      <x:c r="Q416" s="9" t="str">
        <x:v>Released</x:v>
      </x:c>
      <x:c r="R416" s="9" t="str">
        <x:v>Original laserdisc track video by Computer Creations (South Bend, IN), CGI rendered at Grey and Associates</x:v>
      </x:c>
      <x:c r="S416" s="9" t="str">
        <x:v>None</x:v>
      </x:c>
      <x:c r="T416" s="9" t="str">
        <x:v>—</x:v>
      </x:c>
      <x:c r="U416" s="9" t="n">
        <x:v>1</x:v>
      </x:c>
      <x:c r="V416" s="9" t="str">
        <x:v>No</x:v>
      </x:c>
      <x:c r="W416" s="9" t="str">
        <x:v>Motorcycle handlebars; upright and sit-down (ride-on cycle) cabinets; modified Pioneer PR-8210</x:v>
      </x:c>
      <x:c r="X416" s="9" t="str">
        <x:v>Low</x:v>
      </x:c>
      <x:c r="Y416" s="9" t="str"/>
      <x:c r="Z416" s="9" t="str">
        <x:v>5–15 min</x:v>
      </x:c>
      <x:c r="AA416" s="9" t="str">
        <x:v>Williams' surreal laserdisc bike race with Sinistar in the scenery, which Eugene Jarvis blamed for a $50 million loss.</x:v>
      </x:c>
      <x:c r="AB416" s="9" t="str">
        <x:v>None known</x:v>
      </x:c>
      <x:c r="AC416" s="9" t="str">
        <x:v>Full-screen laserdisc tracks with sprite riders overlaid; track data hidden in the NTSC lines so riders follow the road</x:v>
      </x:c>
      <x:c r="AD416" s="9" t="str">
        <x:v>Race-position based; rear-view mirror warns of riders behind</x:v>
      </x:c>
      <x:c r="AE416" s="9" t="str">
        <x:v>Linear races</x:v>
      </x:c>
      <x:c r="AF416" s="9" t="str">
        <x:v>Built to rival Dragon's Lair; RJ Mical coordinated it and Python Anghelo designed it. It shows up in the 1987 slasher film Blood Rage.</x:v>
      </x:c>
      <x:c r="AG416" s="9" t="str">
        <x:v>Upright and sit-down; MAME lists REV 1 and PROTO 3 sets</x:v>
      </x:c>
      <x:c r="AH416" s="9" t="str">
        <x:v>Partial (MAME 'starridr' driver exists but is marked not working, no sound; Hypseus lists 'starrider' but it is not playable — verify; no re-release)</x:v>
      </x:c>
      <x:c r="AI416" s="9" t="str">
        <x:v>Arcade</x:v>
      </x:c>
      <x:c r="AJ416" s="9" t="str">
        <x:v>No public venue found with a dated source; cabinets are mostly with collectors. At home: MAME 'starridr' driver exists but is marked not working, no sound; Hypseus lists 'starrider' but it is not playable — verify; no re-release.</x:v>
      </x:c>
      <x:c r="AK416" s="9" t="str">
        <x:v>Demo at AMOA Oct 1983, release Nov 1983 (MAME gives 1984).</x:v>
      </x:c>
      <x:c r="AL416" s="10"/>
      <x:c r="AM416" s="10"/>
      <x:c r="AN416" s="10"/>
      <x:c r="AO416" s="9"/>
      <x:c r="AP416" s="9"/>
      <x:c r="AQ416" s="9"/>
      <x:c r="AR416" s="9"/>
      <x:c r="AS416" s="9"/>
      <x:c r="AT416" s="9"/>
      <x:c r="AU416" s="9"/>
      <x:c r="AV416" s="9"/>
      <x:c r="AW416" s="9"/>
      <x:c r="AX416" s="9"/>
      <x:c r="AY416" s="9"/>
      <x:c r="AZ416" s="9"/>
      <x:c r="BA416" s="11" t="str">
        <x:f>HYPERLINK("https://www.mobygames.com/search/?q=Star+Rider","MobyGames")</x:f>
        <x:v>MobyGames</x:v>
      </x:c>
      <x:c r="BB416" s="9"/>
      <x:c r="BC416" s="9"/>
      <x:c r="BD416" s="9"/>
      <x:c r="BE416" s="11" t="str">
        <x:f>HYPERLINK("https://en.wikipedia.org/wiki/Star_Rider","Wikipedia")</x:f>
        <x:v>Wikipedia</x:v>
      </x:c>
      <x:c r="BF416" s="11" t="str">
        <x:f>HYPERLINK("https://backloggd.com/search/games/Star%20Rider/","Backloggd")</x:f>
        <x:v>Backloggd</x:v>
      </x:c>
      <x:c r="BG416" s="9"/>
      <x:c r="BH416" s="11" t="str">
        <x:f>HYPERLINK("https://www.arcade-museum.com/Videogame/star-rider","KLOV")</x:f>
        <x:v>KLOV</x:v>
      </x:c>
      <x:c r="BI416" s="12" t="str">
        <x:v>No</x:v>
      </x:c>
      <x:c r="BJ416" s="12" t="str"/>
      <x:c r="BK416" s="12" t="str">
        <x:v>No</x:v>
      </x:c>
      <x:c r="BL416" s="12" t="str"/>
      <x:c r="BM416" s="12" t="str"/>
      <x:c r="BN416" s="12" t="str"/>
      <x:c r="BO416" s="12" t="str"/>
      <x:c r="BP416" s="12" t="str"/>
      <x:c r="BQ416" s="12" t="str"/>
    </x:row>
    <x:row r="417">
      <x:c r="A417" s="9" t="str">
        <x:v>laserdisc-21</x:v>
      </x:c>
      <x:c r="B417" s="9" t="str">
        <x:v>mach-3</x:v>
      </x:c>
      <x:c r="C417" s="9" t="str">
        <x:v>Laserdisc arcade</x:v>
      </x:c>
      <x:c r="D417" s="9" t="str">
        <x:v>M.A.C.H. 3</x:v>
      </x:c>
      <x:c r="E417" s="9" t="str"/>
      <x:c r="F417" s="9" t="str">
        <x:v>Mylstar Electronics (Gottlieb)</x:v>
      </x:c>
      <x:c r="G417" s="9" t="str">
        <x:v>Mylstar (NA/EU), Taito (JP)</x:v>
      </x:c>
      <x:c r="H417" s="9" t="n">
        <x:v>1983</x:v>
      </x:c>
      <x:c r="I417" s="9" t="str">
        <x:v>Yes</x:v>
      </x:c>
      <x:c r="J417" s="9" t="str">
        <x:v>Yes</x:v>
      </x:c>
      <x:c r="K417" s="9" t="str">
        <x:v>Yes</x:v>
      </x:c>
      <x:c r="L417" s="9" t="str">
        <x:v>No</x:v>
      </x:c>
      <x:c r="M417" s="9" t="str">
        <x:v>Shooter (flight/bombing)</x:v>
      </x:c>
      <x:c r="N417" s="9" t="str">
        <x:v>Live-action</x:v>
      </x:c>
      <x:c r="O417" s="9" t="n">
        <x:v>9</x:v>
      </x:c>
      <x:c r="P417" s="9" t="str">
        <x:v>Laserdisc arcade</x:v>
      </x:c>
      <x:c r="Q417" s="9" t="str">
        <x:v>Released</x:v>
      </x:c>
      <x:c r="R417" s="9" t="str">
        <x:v>Original aerial jet footage shot by Clay Lacy</x:v>
      </x:c>
      <x:c r="S417" s="9" t="str">
        <x:v>None</x:v>
      </x:c>
      <x:c r="T417" s="9" t="str">
        <x:v>—</x:v>
      </x:c>
      <x:c r="U417" s="9" t="n">
        <x:v>1</x:v>
      </x:c>
      <x:c r="V417" s="9" t="str">
        <x:v>No</x:v>
      </x:c>
      <x:c r="W417" s="9" t="str">
        <x:v>Flight stick with fire/bomb buttons; upright and cockpit; Pioneer PR-8210 (Mylstar Video Disc Graphics System)</x:v>
      </x:c>
      <x:c r="X417" s="9" t="str">
        <x:v>Low</x:v>
      </x:c>
      <x:c r="Y417" s="9" t="str"/>
      <x:c r="Z417" s="9" t="str">
        <x:v>10–20 min</x:v>
      </x:c>
      <x:c r="AA417" s="9" t="str">
        <x:v>Gottlieb's laserdisc jet sim: real aerial footage with fighters and bombs drawn on top, a top-five earner of 1984.</x:v>
      </x:c>
      <x:c r="AB417" s="9" t="str">
        <x:v>None known</x:v>
      </x:c>
      <x:c r="AC417" s="9" t="str">
        <x:v>Full-screen live-action aerial video with CG fighter, crosshair and targets overlaid (overlay hardware by David Pfeiffer, art by Jeff Lee)</x:v>
      </x:c>
      <x:c r="AD417" s="9" t="str">
        <x:v>Moderate; choose Fighter Raid (low-level forward) or Bombing Run (top-down)</x:v>
      </x:c>
      <x:c r="AE417" s="9" t="str">
        <x:v>Linear missions; loops</x:v>
      </x:c>
      <x:c r="AF417" s="9" t="str">
        <x:v>The name stands for Military Air Command Hunter. Chris Brewer and Fred Darmstadt programmed it.</x:v>
      </x:c>
      <x:c r="AG417" s="9" t="str">
        <x:v>Upright and cockpit; MAME has three ROM sets; Data East's Cobra Command also ran on M.A.C.H. 3 hardware</x:v>
      </x:c>
      <x:c r="AH417" s="9" t="str">
        <x:v>Yes (MAME 'mach3' with laserdisc CHD, marked working; Hypseus Singe/Daphne 'mach3'; no commercial re-release)</x:v>
      </x:c>
      <x:c r="AI417" s="9" t="str">
        <x:v>Arcade</x:v>
      </x:c>
      <x:c r="AJ417" s="9" t="str">
        <x:v>No public venue found with a dated source; cabinets are mostly with collectors. At home: MAME 'mach3' with laserdisc CHD, marked working; Hypseus Singe/Daphne 'mach3'; no commercial re-release.</x:v>
      </x:c>
      <x:c r="AK417" s="9" t="str">
        <x:v>NA Oct 4 1983, EU Dec 1983, JP Feb 1984 (Wikipedia).</x:v>
      </x:c>
      <x:c r="AL417" s="10"/>
      <x:c r="AM417" s="10"/>
      <x:c r="AN417" s="10"/>
      <x:c r="AO417" s="9"/>
      <x:c r="AP417" s="9"/>
      <x:c r="AQ417" s="9"/>
      <x:c r="AR417" s="9"/>
      <x:c r="AS417" s="9"/>
      <x:c r="AT417" s="9"/>
      <x:c r="AU417" s="9"/>
      <x:c r="AV417" s="9"/>
      <x:c r="AW417" s="9"/>
      <x:c r="AX417" s="9"/>
      <x:c r="AY417" s="9"/>
      <x:c r="AZ417" s="9"/>
      <x:c r="BA417" s="11" t="str">
        <x:f>HYPERLINK("https://www.mobygames.com/search/?q=M.A.C.H.+3","MobyGames")</x:f>
        <x:v>MobyGames</x:v>
      </x:c>
      <x:c r="BB417" s="9"/>
      <x:c r="BC417" s="9"/>
      <x:c r="BD417" s="9"/>
      <x:c r="BE417" s="11" t="str">
        <x:f>HYPERLINK("https://en.wikipedia.org/wiki/M.A.C.H._3","Wikipedia")</x:f>
        <x:v>Wikipedia</x:v>
      </x:c>
      <x:c r="BF417" s="11" t="str">
        <x:f>HYPERLINK("https://backloggd.com/search/games/M.A.C.H.%203/","Backloggd")</x:f>
        <x:v>Backloggd</x:v>
      </x:c>
      <x:c r="BG417" s="9"/>
      <x:c r="BH417" s="11" t="str">
        <x:f>HYPERLINK("https://arcade-museum.com/Videogame/m-a-c-h-3","KLOV")</x:f>
        <x:v>KLOV</x:v>
      </x:c>
      <x:c r="BI417" s="12" t="str">
        <x:v>No</x:v>
      </x:c>
      <x:c r="BJ417" s="12" t="str"/>
      <x:c r="BK417" s="12" t="str">
        <x:v>No</x:v>
      </x:c>
      <x:c r="BL417" s="12" t="str"/>
      <x:c r="BM417" s="12" t="str"/>
      <x:c r="BN417" s="12" t="str"/>
      <x:c r="BO417" s="12" t="str"/>
      <x:c r="BP417" s="12" t="str"/>
      <x:c r="BQ417" s="12" t="str"/>
    </x:row>
    <x:row r="418">
      <x:c r="A418" s="9" t="str">
        <x:v>laserdisc-22</x:v>
      </x:c>
      <x:c r="B418" s="9" t="str">
        <x:v>us-vs-them</x:v>
      </x:c>
      <x:c r="C418" s="9" t="str">
        <x:v>Laserdisc arcade</x:v>
      </x:c>
      <x:c r="D418" s="9" t="str">
        <x:v>Us vs. Them</x:v>
      </x:c>
      <x:c r="E418" s="9" t="str"/>
      <x:c r="F418" s="9" t="str">
        <x:v>Mylstar Electronics (Gottlieb)</x:v>
      </x:c>
      <x:c r="G418" s="9" t="str">
        <x:v>Mylstar</x:v>
      </x:c>
      <x:c r="H418" s="9" t="n">
        <x:v>1984</x:v>
      </x:c>
      <x:c r="I418" s="9" t="str">
        <x:v>Yes</x:v>
      </x:c>
      <x:c r="J418" s="9" t="str">
        <x:v>No</x:v>
      </x:c>
      <x:c r="K418" s="9" t="str">
        <x:v>No</x:v>
      </x:c>
      <x:c r="L418" s="9" t="str">
        <x:v>No</x:v>
      </x:c>
      <x:c r="M418" s="9" t="str">
        <x:v>Shooter (UFO invasion)</x:v>
      </x:c>
      <x:c r="N418" s="9" t="str">
        <x:v>Live-action</x:v>
      </x:c>
      <x:c r="O418" s="9" t="n">
        <x:v>9</x:v>
      </x:c>
      <x:c r="P418" s="9" t="str">
        <x:v>Laserdisc arcade</x:v>
      </x:c>
      <x:c r="Q418" s="9" t="str">
        <x:v>Released</x:v>
      </x:c>
      <x:c r="R418" s="9" t="str">
        <x:v>Original live-action shoot: story scenes on custom sets plus aerial jet, helicopter-over-Chicago and woods footage</x:v>
      </x:c>
      <x:c r="S418" s="9" t="str">
        <x:v>None</x:v>
      </x:c>
      <x:c r="T418" s="9" t="str">
        <x:v>Unknown — verify (local actors in B-movie skits)</x:v>
      </x:c>
      <x:c r="U418" s="9" t="n">
        <x:v>1</x:v>
      </x:c>
      <x:c r="V418" s="9" t="str">
        <x:v>No</x:v>
      </x:c>
      <x:c r="W418" s="9" t="str">
        <x:v>Flight stick + buttons; upright; Pioneer PR-8210 (Mylstar video disc system)</x:v>
      </x:c>
      <x:c r="X418" s="9" t="str">
        <x:v>Low</x:v>
      </x:c>
      <x:c r="Y418" s="9" t="str"/>
      <x:c r="Z418" s="9" t="str">
        <x:v>15–25 min</x:v>
      </x:c>
      <x:c r="AA418" s="9" t="str">
        <x:v>A B-movie alien invasion with live actors and an orchestral score, made just as the laserdisc boom died.</x:v>
      </x:c>
      <x:c r="AB418" s="9" t="str">
        <x:v>None known</x:v>
      </x:c>
      <x:c r="AC418" s="9" t="str">
        <x:v>Live-action story scenes, then about a minute of play per level with sprites over first-person, angled or side-on aerial video</x:v>
      </x:c>
      <x:c r="AD418" s="9" t="str">
        <x:v>Moderate; each level about a minute</x:v>
      </x:c>
      <x:c r="AE418" s="9" t="str">
        <x:v>Linear story; single ending (verify)</x:v>
      </x:c>
      <x:c r="AF418" s="9" t="str">
        <x:v>Dennis Nordman conceived it; Warren Davis (Q*bert) programmed and edited the video. The woods level was inspired by Return of the Jedi's speeder chase.</x:v>
      </x:c>
      <x:c r="AG418" s="9" t="str">
        <x:v>Single release; very few made (verify count)</x:v>
      </x:c>
      <x:c r="AH418" s="9" t="str">
        <x:v>Yes (MAME 'usvsthem' with laserdisc CHD, marked working; Hypseus Singe/Daphne 'uvt'; no commercial re-release)</x:v>
      </x:c>
      <x:c r="AI418" s="9" t="str">
        <x:v>Arcade</x:v>
      </x:c>
      <x:c r="AJ418" s="9" t="str">
        <x:v>Cabinets reported at Funspot, Laconia, NH (undated source). Call ahead: floor lists change. At home: MAME 'usvsthem' with laserdisc CHD, marked working; Hypseus Singe/Daphne 'uvt'; no commercial re-release.</x:v>
      </x:c>
      <x:c r="AK418" s="9" t="str">
        <x:v>Warren Davis gave a GDC talk on its making (gdcvault 1029402).</x:v>
      </x:c>
      <x:c r="AL418" s="10"/>
      <x:c r="AM418" s="10"/>
      <x:c r="AN418" s="10"/>
      <x:c r="AO418" s="9"/>
      <x:c r="AP418" s="9"/>
      <x:c r="AQ418" s="9"/>
      <x:c r="AR418" s="9"/>
      <x:c r="AS418" s="9"/>
      <x:c r="AT418" s="9"/>
      <x:c r="AU418" s="9"/>
      <x:c r="AV418" s="9"/>
      <x:c r="AW418" s="9"/>
      <x:c r="AX418" s="9"/>
      <x:c r="AY418" s="9"/>
      <x:c r="AZ418" s="9"/>
      <x:c r="BA418" s="11" t="str">
        <x:f>HYPERLINK("https://www.mobygames.com/search/?q=Us+vs.+Them","MobyGames")</x:f>
        <x:v>MobyGames</x:v>
      </x:c>
      <x:c r="BB418" s="9"/>
      <x:c r="BC418" s="9"/>
      <x:c r="BD418" s="9"/>
      <x:c r="BE418" s="9"/>
      <x:c r="BF418" s="11" t="str">
        <x:f>HYPERLINK("https://backloggd.com/search/games/Us%20vs.%20Them/","Backloggd")</x:f>
        <x:v>Backloggd</x:v>
      </x:c>
      <x:c r="BG418" s="9"/>
      <x:c r="BH418" s="11" t="str">
        <x:f>HYPERLINK("https://arcade-museum.com/Videogame/us-vs-them","KLOV")</x:f>
        <x:v>KLOV</x:v>
      </x:c>
      <x:c r="BI418" s="12" t="str">
        <x:v>No</x:v>
      </x:c>
      <x:c r="BJ418" s="12" t="str"/>
      <x:c r="BK418" s="12" t="str">
        <x:v>No</x:v>
      </x:c>
      <x:c r="BL418" s="12" t="str"/>
      <x:c r="BM418" s="12" t="str"/>
      <x:c r="BN418" s="12" t="str"/>
      <x:c r="BO418" s="12" t="str"/>
      <x:c r="BP418" s="12" t="str"/>
      <x:c r="BQ418" s="12" t="str"/>
    </x:row>
    <x:row r="419">
      <x:c r="A419" s="9" t="str">
        <x:v>laserdisc-23</x:v>
      </x:c>
      <x:c r="B419" s="9" t="str">
        <x:v>firefox</x:v>
      </x:c>
      <x:c r="C419" s="9" t="str">
        <x:v>Laserdisc arcade</x:v>
      </x:c>
      <x:c r="D419" s="9" t="str">
        <x:v>Firefox</x:v>
      </x:c>
      <x:c r="E419" s="9" t="str">
        <x:v>Fire Fox</x:v>
      </x:c>
      <x:c r="F419" s="9" t="str">
        <x:v>Atari, Inc.</x:v>
      </x:c>
      <x:c r="G419" s="9" t="str">
        <x:v>Atari</x:v>
      </x:c>
      <x:c r="H419" s="9" t="n">
        <x:v>1984</x:v>
      </x:c>
      <x:c r="I419" s="9" t="str">
        <x:v>Yes</x:v>
      </x:c>
      <x:c r="J419" s="9" t="str">
        <x:v>Yes</x:v>
      </x:c>
      <x:c r="K419" s="9" t="str">
        <x:v>Yes</x:v>
      </x:c>
      <x:c r="L419" s="9" t="str">
        <x:v>No</x:v>
      </x:c>
      <x:c r="M419" s="9" t="str">
        <x:v>Shooter (flight)</x:v>
      </x:c>
      <x:c r="N419" s="9" t="str">
        <x:v>Live-action</x:v>
      </x:c>
      <x:c r="O419" s="9" t="n">
        <x:v>9</x:v>
      </x:c>
      <x:c r="P419" s="9" t="str">
        <x:v>Laserdisc arcade</x:v>
      </x:c>
      <x:c r="Q419" s="9" t="str">
        <x:v>Released</x:v>
      </x:c>
      <x:c r="R419" s="9" t="str">
        <x:v>Film license: footage from Clint Eastwood's Firefox (1982, Warner Bros.), mostly helicopter shots over Greenland and Scandinavia</x:v>
      </x:c>
      <x:c r="S419" s="9" t="str">
        <x:v>None</x:v>
      </x:c>
      <x:c r="T419" s="9" t="str">
        <x:v>Clint Eastwood (film footage)</x:v>
      </x:c>
      <x:c r="U419" s="9" t="n">
        <x:v>1</x:v>
      </x:c>
      <x:c r="V419" s="9" t="str">
        <x:v>No</x:v>
      </x:c>
      <x:c r="W419" s="9" t="str">
        <x:v>Flight yoke; upright or sit-down cockpit (shared with I, Robot), headphone jack; Philips 22VP931 laserdisc player</x:v>
      </x:c>
      <x:c r="X419" s="9" t="str">
        <x:v>HIGH</x:v>
      </x:c>
      <x:c r="Y419" s="9" t="str">
        <x:v>Warner Bros. film footage and score from Firefox (1982)</x:v>
      </x:c>
      <x:c r="Z419" s="9" t="str">
        <x:v>10–20 min</x:v>
      </x:c>
      <x:c r="AA419" s="9" t="str">
        <x:v>Atari's only laserdisc game, flying Clint Eastwood's stolen MiG through real footage from the film.</x:v>
      </x:c>
      <x:c r="AB419" s="9" t="str">
        <x:v>None known</x:v>
      </x:c>
      <x:c r="AC419" s="9" t="str">
        <x:v>Full-screen film footage with vector-style CG enemies, missiles and HUD overlaid</x:v>
      </x:c>
      <x:c r="AD419" s="9" t="str">
        <x:v>Moderate; fuel and shields deplete</x:v>
      </x:c>
      <x:c r="AE419" s="9" t="str">
        <x:v>Linear; loops</x:v>
      </x:c>
      <x:c r="AF419" s="9" t="str">
        <x:v>Mike Hally and Moe Shore picked the footage from 20–30 hours of film; budget over $1 million. Top laserdisc earner on Play Meter in July 1984.</x:v>
      </x:c>
      <x:c r="AG419" s="9" t="str">
        <x:v>Upright and cockpit; two ROM sets (MAME firefox, firefoxa)</x:v>
      </x:c>
      <x:c r="AH419" s="9" t="str">
        <x:v>Yes (MAME 'firefox' with laserdisc CHD, marked working; Hypseus lists 'firefox' (verify playability); no re-release)</x:v>
      </x:c>
      <x:c r="AI419" s="9" t="str">
        <x:v>Arcade</x:v>
      </x:c>
      <x:c r="AJ419" s="9" t="str">
        <x:v>No public venue found with a dated source; cabinets are mostly with collectors. At home: MAME 'firefox' with laserdisc CHD, marked working; Hypseus lists 'firefox' (verify playability); no re-release.</x:v>
      </x:c>
      <x:c r="AK419" s="9" t="str">
        <x:v>Atari also published Dragon's Lair and Space Ace in Europe.</x:v>
      </x:c>
      <x:c r="AL419" s="10"/>
      <x:c r="AM419" s="10"/>
      <x:c r="AN419" s="10"/>
      <x:c r="AO419" s="9"/>
      <x:c r="AP419" s="9"/>
      <x:c r="AQ419" s="9"/>
      <x:c r="AR419" s="9"/>
      <x:c r="AS419" s="9"/>
      <x:c r="AT419" s="9"/>
      <x:c r="AU419" s="9"/>
      <x:c r="AV419" s="9"/>
      <x:c r="AW419" s="9"/>
      <x:c r="AX419" s="9"/>
      <x:c r="AY419" s="9"/>
      <x:c r="AZ419" s="9"/>
      <x:c r="BA419" s="11" t="str">
        <x:f>HYPERLINK("https://www.mobygames.com/search/?q=Firefox","MobyGames")</x:f>
        <x:v>MobyGames</x:v>
      </x:c>
      <x:c r="BB419" s="9"/>
      <x:c r="BC419" s="9"/>
      <x:c r="BD419" s="9"/>
      <x:c r="BE419" s="11" t="str">
        <x:f>HYPERLINK("https://en.wikipedia.org/wiki/Firefox_(video_game)","Wikipedia")</x:f>
        <x:v>Wikipedia</x:v>
      </x:c>
      <x:c r="BF419" s="11" t="str">
        <x:f>HYPERLINK("https://backloggd.com/search/games/Firefox/","Backloggd")</x:f>
        <x:v>Backloggd</x:v>
      </x:c>
      <x:c r="BG419" s="9"/>
      <x:c r="BH419" s="11" t="str">
        <x:f>HYPERLINK("https://www.arcade-museum.com/Videogame/firefox","KLOV")</x:f>
        <x:v>KLOV</x:v>
      </x:c>
      <x:c r="BI419" s="12" t="str">
        <x:v>No</x:v>
      </x:c>
      <x:c r="BJ419" s="12" t="str"/>
      <x:c r="BK419" s="12" t="str">
        <x:v>No</x:v>
      </x:c>
      <x:c r="BL419" s="12" t="str"/>
      <x:c r="BM419" s="12" t="str"/>
      <x:c r="BN419" s="12" t="str"/>
      <x:c r="BO419" s="12" t="str"/>
      <x:c r="BP419" s="12" t="str"/>
      <x:c r="BQ419" s="12" t="str"/>
    </x:row>
    <x:row r="420">
      <x:c r="A420" s="9" t="str">
        <x:v>laserdisc-24</x:v>
      </x:c>
      <x:c r="B420" s="9" t="str">
        <x:v>cube-quest</x:v>
      </x:c>
      <x:c r="C420" s="9" t="str">
        <x:v>Laserdisc arcade</x:v>
      </x:c>
      <x:c r="D420" s="9" t="str">
        <x:v>Cube Quest</x:v>
      </x:c>
      <x:c r="E420" s="9" t="str"/>
      <x:c r="F420" s="9" t="str">
        <x:v>Simutrek</x:v>
      </x:c>
      <x:c r="G420" s="9" t="str">
        <x:v>Simutrek</x:v>
      </x:c>
      <x:c r="H420" s="9" t="n">
        <x:v>1983</x:v>
      </x:c>
      <x:c r="I420" s="9" t="str">
        <x:v>Yes</x:v>
      </x:c>
      <x:c r="J420" s="9" t="str">
        <x:v>No</x:v>
      </x:c>
      <x:c r="K420" s="9" t="str">
        <x:v>No</x:v>
      </x:c>
      <x:c r="L420" s="9" t="str">
        <x:v>No</x:v>
      </x:c>
      <x:c r="M420" s="9" t="str">
        <x:v>Tube shooter</x:v>
      </x:c>
      <x:c r="N420" s="9" t="str">
        <x:v>Pre-rendered CG</x:v>
      </x:c>
      <x:c r="O420" s="9" t="n">
        <x:v>9</x:v>
      </x:c>
      <x:c r="P420" s="9" t="str">
        <x:v>Laserdisc arcade</x:v>
      </x:c>
      <x:c r="Q420" s="9" t="str">
        <x:v>Released</x:v>
      </x:c>
      <x:c r="R420" s="9" t="str">
        <x:v>CG backgrounds by Robert Abel and Associates (later reused in Beyond the Mind's Eye)</x:v>
      </x:c>
      <x:c r="S420" s="9" t="str">
        <x:v>None (Vectrex version planned, cancelled)</x:v>
      </x:c>
      <x:c r="T420" s="9" t="str">
        <x:v>Ken Nordine (intro narration, uncredited)</x:v>
      </x:c>
      <x:c r="U420" s="9" t="n">
        <x:v>1</x:v>
      </x:c>
      <x:c r="V420" s="9" t="str">
        <x:v>No</x:v>
      </x:c>
      <x:c r="W420" s="9" t="str">
        <x:v>Joystick/spinner + buttons (verify); upright; Simutrek special modified Pioneer PR-8210</x:v>
      </x:c>
      <x:c r="X420" s="9" t="str">
        <x:v>Low</x:v>
      </x:c>
      <x:c r="Y420" s="9" t="str"/>
      <x:c r="Z420" s="9" t="str">
        <x:v>15–30 min</x:v>
      </x:c>
      <x:c r="AA420" s="9" t="str">
        <x:v>Real-time 3-D polygons flying over Robert Abel CG on laserdisc, and a link to the Polybius legend.</x:v>
      </x:c>
      <x:c r="AB420" s="9" t="str">
        <x:v>None known</x:v>
      </x:c>
      <x:c r="AC420" s="9" t="str">
        <x:v>Real-time 3-D polygon ships and enemies over streamed CG corridor backgrounds; 54 themed corridors</x:v>
      </x:c>
      <x:c r="AD420" s="9" t="str">
        <x:v>Tempest-like; Eugene Jarvis called it 'a poor version of Tempest'</x:v>
      </x:c>
      <x:c r="AE420" s="9" t="str">
        <x:v>Reach the Treasure of Mytha, then restarts</x:v>
      </x:c>
      <x:c r="AF420" s="9" t="str">
        <x:v>Founded by ex-Atari/Exidy executive Noah Anglin; Paul Allen Newell did most of the design and code.</x:v>
      </x:c>
      <x:c r="AG420" s="9" t="str">
        <x:v>Two ROM dates (01/04/84, 12/30/83)</x:v>
      </x:c>
      <x:c r="AH420" s="9" t="str">
        <x:v>Yes (MAME 'cubeqst' with laserdisc CHD, marked working; no re-release)</x:v>
      </x:c>
      <x:c r="AI420" s="9" t="str">
        <x:v>Arcade</x:v>
      </x:c>
      <x:c r="AJ420" s="9" t="str">
        <x:v>No public venue found with a dated source; cabinets are mostly with collectors. At home: MAME 'cubeqst' with laserdisc CHD, marked working; no re-release.</x:v>
      </x:c>
      <x:c r="AK420" s="9" t="str">
        <x:v>Debuted at Tokyo AM Show Sept 1983; NA release Dec 1983.</x:v>
      </x:c>
      <x:c r="AL420" s="10"/>
      <x:c r="AM420" s="10"/>
      <x:c r="AN420" s="10"/>
      <x:c r="AO420" s="9"/>
      <x:c r="AP420" s="9"/>
      <x:c r="AQ420" s="9"/>
      <x:c r="AR420" s="9"/>
      <x:c r="AS420" s="9"/>
      <x:c r="AT420" s="9"/>
      <x:c r="AU420" s="9"/>
      <x:c r="AV420" s="9"/>
      <x:c r="AW420" s="9"/>
      <x:c r="AX420" s="9"/>
      <x:c r="AY420" s="9"/>
      <x:c r="AZ420" s="9"/>
      <x:c r="BA420" s="11" t="str">
        <x:f>HYPERLINK("https://www.mobygames.com/search/?q=Cube+Quest","MobyGames")</x:f>
        <x:v>MobyGames</x:v>
      </x:c>
      <x:c r="BB420" s="9"/>
      <x:c r="BC420" s="9"/>
      <x:c r="BD420" s="9"/>
      <x:c r="BE420" s="11" t="str">
        <x:f>HYPERLINK("https://en.wikipedia.org/wiki/Cube_Quest","Wikipedia")</x:f>
        <x:v>Wikipedia</x:v>
      </x:c>
      <x:c r="BF420" s="11" t="str">
        <x:f>HYPERLINK("https://backloggd.com/search/games/Cube%20Quest/","Backloggd")</x:f>
        <x:v>Backloggd</x:v>
      </x:c>
      <x:c r="BG420" s="9"/>
      <x:c r="BH420" s="11" t="str">
        <x:f>HYPERLINK("https://arcade-museum.com/Videogame/cube-quest","KLOV")</x:f>
        <x:v>KLOV</x:v>
      </x:c>
      <x:c r="BI420" s="12" t="str">
        <x:v>No</x:v>
      </x:c>
      <x:c r="BJ420" s="12" t="str"/>
      <x:c r="BK420" s="12" t="str">
        <x:v>No</x:v>
      </x:c>
      <x:c r="BL420" s="12" t="str"/>
      <x:c r="BM420" s="12" t="str"/>
      <x:c r="BN420" s="12" t="str"/>
      <x:c r="BO420" s="12" t="str"/>
      <x:c r="BP420" s="12" t="str"/>
      <x:c r="BQ420" s="12" t="str"/>
    </x:row>
    <x:row r="421">
      <x:c r="A421" s="9" t="str">
        <x:v>laserdisc-25</x:v>
      </x:c>
      <x:c r="B421" s="9" t="str">
        <x:v>badlands</x:v>
      </x:c>
      <x:c r="C421" s="9" t="str">
        <x:v>Laserdisc arcade</x:v>
      </x:c>
      <x:c r="D421" s="9" t="str">
        <x:v>Badlands</x:v>
      </x:c>
      <x:c r="E421" s="9" t="str"/>
      <x:c r="F421" s="9" t="str">
        <x:v>Konami</x:v>
      </x:c>
      <x:c r="G421" s="9" t="str">
        <x:v>Konami (JP), Centuri (NA)</x:v>
      </x:c>
      <x:c r="H421" s="9" t="n">
        <x:v>1984</x:v>
      </x:c>
      <x:c r="I421" s="9" t="str">
        <x:v>Yes</x:v>
      </x:c>
      <x:c r="J421" s="9" t="str">
        <x:v>Yes</x:v>
      </x:c>
      <x:c r="K421" s="9" t="str">
        <x:v>No</x:v>
      </x:c>
      <x:c r="L421" s="9" t="str">
        <x:v>No</x:v>
      </x:c>
      <x:c r="M421" s="9" t="str">
        <x:v>Interactive movie (shooting)</x:v>
      </x:c>
      <x:c r="N421" s="9" t="str">
        <x:v>Animated</x:v>
      </x:c>
      <x:c r="O421" s="9" t="n">
        <x:v>10</x:v>
      </x:c>
      <x:c r="P421" s="9" t="str">
        <x:v>Laserdisc arcade</x:v>
      </x:c>
      <x:c r="Q421" s="9" t="str">
        <x:v>Released</x:v>
      </x:c>
      <x:c r="R421" s="9" t="str">
        <x:v>Original Konami animated production (studio unknown — verify)</x:v>
      </x:c>
      <x:c r="S421" s="9" t="str">
        <x:v>MSX Pioneer Palcom LaserDisc (PX-V7) (as Badlands)</x:v>
      </x:c>
      <x:c r="T421" s="9" t="str">
        <x:v>—</x:v>
      </x:c>
      <x:c r="U421" s="9" t="n">
        <x:v>1</x:v>
      </x:c>
      <x:c r="V421" s="9" t="str">
        <x:v>No</x:v>
      </x:c>
      <x:c r="W421" s="9" t="str">
        <x:v>Large Shoot button + Pass button; upright; Pioneer LD-V1000 with custom EPROM</x:v>
      </x:c>
      <x:c r="X421" s="9" t="str">
        <x:v>Low</x:v>
      </x:c>
      <x:c r="Y421" s="9" t="str"/>
      <x:c r="Z421" s="9" t="str">
        <x:v>15–25 min</x:v>
      </x:c>
      <x:c r="AA421" s="9" t="str">
        <x:v>A Western anime revenge tale played with one big Shoot button: fire too early or hit a bystander and Buck hangs.</x:v>
      </x:c>
      <x:c r="AB421" s="9" t="str">
        <x:v>None known</x:v>
      </x:c>
      <x:c r="AC421" s="9" t="str">
        <x:v>Full-screen anime laserdisc; player only decides when to shoot; death scenes on failure</x:v>
      </x:c>
      <x:c r="AD421" s="9" t="str">
        <x:v>Timing-based; shooting innocents or too early costs a life</x:v>
      </x:c>
      <x:c r="AE421" s="9" t="str">
        <x:v>Linear; single ending (verify)</x:v>
      </x:c>
      <x:c r="AF421" s="9" t="str">
        <x:v>Debuted at AMOA October 1983; Game Machine ranked it Japan's No. 2 upright in September 1984. Not to be confused with Atari's 1989 Badlands.</x:v>
      </x:c>
      <x:c r="AG421" s="9" t="str">
        <x:v>Two MAME sets (kbadlands, kbadlandsh); Hypseus 'badlands' and 'badlandp'</x:v>
      </x:c>
      <x:c r="AH421" s="9" t="str">
        <x:v>Yes (Hypseus Singe/Daphne 'badlands' with disc image; MAME 'kbadlands' not working; MSX Palcom LaserDisc home version)</x:v>
      </x:c>
      <x:c r="AI421" s="9" t="str">
        <x:v>Arcade</x:v>
      </x:c>
      <x:c r="AJ421" s="9" t="str">
        <x:v>No public venue found with a dated source; cabinets are mostly with collectors. At home: Hypseus Singe/Daphne 'badlands' with disc image; MAME 'kbadlands' not working; MSX Palcom LaserDisc home version.</x:v>
      </x:c>
      <x:c r="AK421" s="9" t="str">
        <x:v>Wikipedia infobox: March 6 1984.</x:v>
      </x:c>
      <x:c r="AL421" s="10"/>
      <x:c r="AM421" s="10"/>
      <x:c r="AN421" s="10"/>
      <x:c r="AO421" s="9"/>
      <x:c r="AP421" s="9"/>
      <x:c r="AQ421" s="9"/>
      <x:c r="AR421" s="9"/>
      <x:c r="AS421" s="9"/>
      <x:c r="AT421" s="9"/>
      <x:c r="AU421" s="9"/>
      <x:c r="AV421" s="9"/>
      <x:c r="AW421" s="9"/>
      <x:c r="AX421" s="9"/>
      <x:c r="AY421" s="9"/>
      <x:c r="AZ421" s="9"/>
      <x:c r="BA421" s="11" t="str">
        <x:f>HYPERLINK("https://www.mobygames.com/game/20234","MobyGames")</x:f>
        <x:v>MobyGames</x:v>
      </x:c>
      <x:c r="BB421" s="9"/>
      <x:c r="BC421" s="9"/>
      <x:c r="BD421" s="9"/>
      <x:c r="BE421" s="11" t="str">
        <x:f>HYPERLINK("https://en.wikipedia.org/wiki/Badlands_(1984_video_game)","Wikipedia")</x:f>
        <x:v>Wikipedia</x:v>
      </x:c>
      <x:c r="BF421" s="11" t="str">
        <x:f>HYPERLINK("https://backloggd.com/search/games/Badlands/","Backloggd")</x:f>
        <x:v>Backloggd</x:v>
      </x:c>
      <x:c r="BG421" s="9"/>
      <x:c r="BH421" s="11" t="str">
        <x:f>HYPERLINK("https://www.arcade-museum.com/Videogame/badlands--konami","KLOV")</x:f>
        <x:v>KLOV</x:v>
      </x:c>
      <x:c r="BI421" s="12" t="str">
        <x:v>No</x:v>
      </x:c>
      <x:c r="BJ421" s="12" t="str"/>
      <x:c r="BK421" s="12" t="str">
        <x:v>No</x:v>
      </x:c>
      <x:c r="BL421" s="12" t="str"/>
      <x:c r="BM421" s="12" t="str"/>
      <x:c r="BN421" s="12" t="str"/>
      <x:c r="BO421" s="12" t="str"/>
      <x:c r="BP421" s="12" t="str"/>
      <x:c r="BQ421" s="12" t="str"/>
    </x:row>
    <x:row r="422">
      <x:c r="A422" s="9" t="str">
        <x:v>laserdisc-26</x:v>
      </x:c>
      <x:c r="B422" s="9" t="str">
        <x:v>goal-to-go</x:v>
      </x:c>
      <x:c r="C422" s="9" t="str">
        <x:v>Laserdisc arcade</x:v>
      </x:c>
      <x:c r="D422" s="9" t="str">
        <x:v>Goal to Go</x:v>
      </x:c>
      <x:c r="E422" s="9" t="str"/>
      <x:c r="F422" s="9" t="str">
        <x:v>Stern Electronics</x:v>
      </x:c>
      <x:c r="G422" s="9" t="str">
        <x:v>Stern Electronics</x:v>
      </x:c>
      <x:c r="H422" s="9" t="n">
        <x:v>1983</x:v>
      </x:c>
      <x:c r="I422" s="9" t="str">
        <x:v>Yes</x:v>
      </x:c>
      <x:c r="J422" s="9" t="str">
        <x:v>No</x:v>
      </x:c>
      <x:c r="K422" s="9" t="str">
        <x:v>No</x:v>
      </x:c>
      <x:c r="L422" s="9" t="str">
        <x:v>No</x:v>
      </x:c>
      <x:c r="M422" s="9" t="str">
        <x:v>Sports (American football)</x:v>
      </x:c>
      <x:c r="N422" s="9" t="str">
        <x:v>Live-action</x:v>
      </x:c>
      <x:c r="O422" s="9" t="n">
        <x:v>10</x:v>
      </x:c>
      <x:c r="P422" s="9" t="str">
        <x:v>Laserdisc arcade</x:v>
      </x:c>
      <x:c r="Q422" s="9" t="str">
        <x:v>Released</x:v>
      </x:c>
      <x:c r="R422" s="9" t="str">
        <x:v>Original live-action footage of local football teams (KLOV)</x:v>
      </x:c>
      <x:c r="S422" s="9" t="str">
        <x:v>None</x:v>
      </x:c>
      <x:c r="T422" s="9" t="str">
        <x:v>—</x:v>
      </x:c>
      <x:c r="U422" s="9" t="n">
        <x:v>1</x:v>
      </x:c>
      <x:c r="V422" s="9" t="str">
        <x:v>No</x:v>
      </x:c>
      <x:c r="W422" s="9" t="str">
        <x:v>4-way joystick + 2 buttons; upright; Pioneer PR-8210 or LD-1100 (Cliff Hanger hardware)</x:v>
      </x:c>
      <x:c r="X422" s="9" t="str">
        <x:v>Low</x:v>
      </x:c>
      <x:c r="Y422" s="9" t="str"/>
      <x:c r="Z422" s="9" t="str">
        <x:v>10–20 min</x:v>
      </x:c>
      <x:c r="AA422" s="9" t="str">
        <x:v>Stern's Cliff Hanger engine turned into a live-action football game: pick a play, then hit the cue.</x:v>
      </x:c>
      <x:c r="AB422" s="9" t="str">
        <x:v>Operator board settings change prompts and mistake handling; no codes</x:v>
      </x:c>
      <x:c r="AC422" s="9" t="str">
        <x:v>Full-screen live-action game footage with on-screen move prompts</x:v>
      </x:c>
      <x:c r="AD422" s="9" t="str">
        <x:v>Make ten yards in four downs; penalties and turnovers cost yards</x:v>
      </x:c>
      <x:c r="AE422" s="9" t="str">
        <x:v>Two-sided disc; game detects which side is loaded</x:v>
      </x:c>
      <x:c r="AF422" s="9" t="str">
        <x:v>Stern's second laser game after Cliff Hanger and a ROM-and-disc conversion of it.</x:v>
      </x:c>
      <x:c r="AG422" s="9" t="str">
        <x:v>Two disc sides with different content; conversion of Cliff Hanger</x:v>
      </x:c>
      <x:c r="AH422" s="9" t="str">
        <x:v>Partial (MAME 'goaltogo' not working; Hypseus/Daphne 'gtg' — verify playability; no re-release)</x:v>
      </x:c>
      <x:c r="AI422" s="9" t="str">
        <x:v>Arcade</x:v>
      </x:c>
      <x:c r="AJ422" s="9" t="str">
        <x:v>No public venue found with a dated source; cabinets are mostly with collectors. At home: MAME 'goaltogo' not working; Hypseus/Daphne 'gtg' — verify playability; no re-release.</x:v>
      </x:c>
      <x:c r="AK422" s="9" t="str">
        <x:v>KLOV lists 'circa 1983'; very rare.</x:v>
      </x:c>
      <x:c r="AL422" s="10"/>
      <x:c r="AM422" s="10"/>
      <x:c r="AN422" s="10"/>
      <x:c r="AO422" s="9"/>
      <x:c r="AP422" s="9"/>
      <x:c r="AQ422" s="9"/>
      <x:c r="AR422" s="9"/>
      <x:c r="AS422" s="9"/>
      <x:c r="AT422" s="9"/>
      <x:c r="AU422" s="9"/>
      <x:c r="AV422" s="9"/>
      <x:c r="AW422" s="9"/>
      <x:c r="AX422" s="9"/>
      <x:c r="AY422" s="9"/>
      <x:c r="AZ422" s="9"/>
      <x:c r="BA422" s="11" t="str">
        <x:f>HYPERLINK("https://www.mobygames.com/search/?q=Goal+to+Go","MobyGames")</x:f>
        <x:v>MobyGames</x:v>
      </x:c>
      <x:c r="BB422" s="9"/>
      <x:c r="BC422" s="9"/>
      <x:c r="BD422" s="9"/>
      <x:c r="BE422" s="9"/>
      <x:c r="BF422" s="11" t="str">
        <x:f>HYPERLINK("https://backloggd.com/search/games/Goal%20to%20Go/","Backloggd")</x:f>
        <x:v>Backloggd</x:v>
      </x:c>
      <x:c r="BG422" s="9"/>
      <x:c r="BH422" s="11" t="str">
        <x:f>HYPERLINK("https://arcade-museum.com/Videogame/goal-to-go","KLOV")</x:f>
        <x:v>KLOV</x:v>
      </x:c>
      <x:c r="BI422" s="12" t="str">
        <x:v>No</x:v>
      </x:c>
      <x:c r="BJ422" s="12" t="str"/>
      <x:c r="BK422" s="12" t="str">
        <x:v>No</x:v>
      </x:c>
      <x:c r="BL422" s="12" t="str"/>
      <x:c r="BM422" s="12" t="str"/>
      <x:c r="BN422" s="12" t="str"/>
      <x:c r="BO422" s="12" t="str"/>
      <x:c r="BP422" s="12" t="str"/>
      <x:c r="BQ422" s="12" t="str"/>
    </x:row>
    <x:row r="423">
      <x:c r="A423" s="9" t="str">
        <x:v>laserdisc-27</x:v>
      </x:c>
      <x:c r="B423" s="9" t="str">
        <x:v>interstellar</x:v>
      </x:c>
      <x:c r="C423" s="9" t="str">
        <x:v>Laserdisc arcade</x:v>
      </x:c>
      <x:c r="D423" s="9" t="str">
        <x:v>Interstellar</x:v>
      </x:c>
      <x:c r="E423" s="9" t="str">
        <x:v>Interstellar Laser Fantasy</x:v>
      </x:c>
      <x:c r="F423" s="9" t="str">
        <x:v>Funai / Gakken</x:v>
      </x:c>
      <x:c r="G423" s="9" t="str">
        <x:v>Funai</x:v>
      </x:c>
      <x:c r="H423" s="9" t="n">
        <x:v>1983</x:v>
      </x:c>
      <x:c r="I423" s="9" t="str">
        <x:v>Yes</x:v>
      </x:c>
      <x:c r="J423" s="9" t="str">
        <x:v>Yes</x:v>
      </x:c>
      <x:c r="K423" s="9" t="str">
        <x:v>Yes</x:v>
      </x:c>
      <x:c r="L423" s="9" t="str">
        <x:v>No</x:v>
      </x:c>
      <x:c r="M423" s="9" t="str">
        <x:v>Rail shooter (space)</x:v>
      </x:c>
      <x:c r="N423" s="9" t="str">
        <x:v>Pre-rendered CG</x:v>
      </x:c>
      <x:c r="O423" s="9" t="n">
        <x:v>9</x:v>
      </x:c>
      <x:c r="P423" s="9" t="str">
        <x:v>Laserdisc arcade</x:v>
      </x:c>
      <x:c r="Q423" s="9" t="str">
        <x:v>Released</x:v>
      </x:c>
      <x:c r="R423" s="9" t="str">
        <x:v>Original laserdisc CG footage (pre-rendered 3-D, predating Star Rider)</x:v>
      </x:c>
      <x:c r="S423" s="9" t="str">
        <x:v>None</x:v>
      </x:c>
      <x:c r="T423" s="9" t="str">
        <x:v>—</x:v>
      </x:c>
      <x:c r="U423" s="9" t="n">
        <x:v>1</x:v>
      </x:c>
      <x:c r="V423" s="9" t="str">
        <x:v>No</x:v>
      </x:c>
      <x:c r="W423" s="9" t="str">
        <x:v>8-way joystick with trigger + Burn button; upright and sit-down (4-channel audio, under-seat woofer); Pioneer LD-V1001</x:v>
      </x:c>
      <x:c r="X423" s="9" t="str">
        <x:v>Low</x:v>
      </x:c>
      <x:c r="Y423" s="9" t="str"/>
      <x:c r="Z423" s="9" t="str">
        <x:v>10–20 min</x:v>
      </x:c>
      <x:c r="AA423" s="9" t="str">
        <x:v>A 1983 shooter with pre-rendered 3-D CG on laserdisc, made by a TV maker.</x:v>
      </x:c>
      <x:c r="AB423" s="9" t="str">
        <x:v>None known</x:v>
      </x:c>
      <x:c r="AC423" s="9" t="str">
        <x:v>Full-screen pre-rendered CG space footage with sprite ship and targets overlaid</x:v>
      </x:c>
      <x:c r="AD423" s="9" t="str">
        <x:v>Moderate</x:v>
      </x:c>
      <x:c r="AE423" s="9" t="str">
        <x:v>Linear; loops</x:v>
      </x:c>
      <x:c r="AF423" s="9" t="str">
        <x:v>The ROMs and disc say just 'Interstellar'; 'Laser Fantasy' only appears on the cabinet and manual.</x:v>
      </x:c>
      <x:c r="AG423" s="9" t="str">
        <x:v>Upright and sit-down; Inter Stellar Zangus (Laser Fantasy vol. 2) conversion kit, unreleased (MAME istellar2)</x:v>
      </x:c>
      <x:c r="AH423" s="9" t="str">
        <x:v>Yes (Hypseus Singe/Daphne 'interstellar' with disc image; MAME 'istellar' not working; no re-release)</x:v>
      </x:c>
      <x:c r="AI423" s="9" t="str">
        <x:v>Arcade</x:v>
      </x:c>
      <x:c r="AJ423" s="9" t="str">
        <x:v>Cabinets reported at Galloping Ghost Arcade, Brookfield, IL (source 2018-08). Call ahead: floor lists change. At home: Hypseus Singe/Daphne 'interstellar' with disc image; MAME 'istellar' not working; no re-release.</x:v>
      </x:c>
      <x:c r="AK423" s="9" t="str">
        <x:v>Regions inferred from EU flyer and JP title; NA release verify.</x:v>
      </x:c>
      <x:c r="AL423" s="10"/>
      <x:c r="AM423" s="10"/>
      <x:c r="AN423" s="10"/>
      <x:c r="AO423" s="9"/>
      <x:c r="AP423" s="9"/>
      <x:c r="AQ423" s="9"/>
      <x:c r="AR423" s="9"/>
      <x:c r="AS423" s="9"/>
      <x:c r="AT423" s="9"/>
      <x:c r="AU423" s="9"/>
      <x:c r="AV423" s="9"/>
      <x:c r="AW423" s="9"/>
      <x:c r="AX423" s="9"/>
      <x:c r="AY423" s="9"/>
      <x:c r="AZ423" s="9"/>
      <x:c r="BA423" s="11" t="str">
        <x:f>HYPERLINK("https://www.mobygames.com/search/?q=Interstellar","MobyGames")</x:f>
        <x:v>MobyGames</x:v>
      </x:c>
      <x:c r="BB423" s="9"/>
      <x:c r="BC423" s="9"/>
      <x:c r="BD423" s="9"/>
      <x:c r="BE423" s="9"/>
      <x:c r="BF423" s="11" t="str">
        <x:f>HYPERLINK("https://backloggd.com/search/games/Interstellar/","Backloggd")</x:f>
        <x:v>Backloggd</x:v>
      </x:c>
      <x:c r="BG423" s="9"/>
      <x:c r="BH423" s="11" t="str">
        <x:f>HYPERLINK("https://arcade-museum.com/Videogame/interstellar-laser-fantasy","KLOV")</x:f>
        <x:v>KLOV</x:v>
      </x:c>
      <x:c r="BI423" s="12" t="str">
        <x:v>No</x:v>
      </x:c>
      <x:c r="BJ423" s="12" t="str"/>
      <x:c r="BK423" s="12" t="str">
        <x:v>No</x:v>
      </x:c>
      <x:c r="BL423" s="12" t="str"/>
      <x:c r="BM423" s="12" t="str"/>
      <x:c r="BN423" s="12" t="str"/>
      <x:c r="BO423" s="12" t="str"/>
      <x:c r="BP423" s="12" t="str"/>
      <x:c r="BQ423" s="12" t="str"/>
    </x:row>
    <x:row r="424">
      <x:c r="A424" s="9" t="str">
        <x:v>laserdisc-28</x:v>
      </x:c>
      <x:c r="B424" s="9" t="str">
        <x:v>eshs-aurunmilla</x:v>
      </x:c>
      <x:c r="C424" s="9" t="str">
        <x:v>Laserdisc arcade</x:v>
      </x:c>
      <x:c r="D424" s="9" t="str">
        <x:v>Esh's Aurunmilla</x:v>
      </x:c>
      <x:c r="E424" s="9" t="str"/>
      <x:c r="F424" s="9" t="str">
        <x:v>Funai / Gakken</x:v>
      </x:c>
      <x:c r="G424" s="9" t="str">
        <x:v>Funai</x:v>
      </x:c>
      <x:c r="H424" s="9" t="n">
        <x:v>1984</x:v>
      </x:c>
      <x:c r="I424" s="9" t="str">
        <x:v>Yes</x:v>
      </x:c>
      <x:c r="J424" s="9" t="str">
        <x:v>Yes</x:v>
      </x:c>
      <x:c r="K424" s="9" t="str">
        <x:v>No</x:v>
      </x:c>
      <x:c r="L424" s="9" t="str">
        <x:v>No</x:v>
      </x:c>
      <x:c r="M424" s="9" t="str">
        <x:v>Interactive movie</x:v>
      </x:c>
      <x:c r="N424" s="9" t="str">
        <x:v>Animated</x:v>
      </x:c>
      <x:c r="O424" s="9" t="n">
        <x:v>10</x:v>
      </x:c>
      <x:c r="P424" s="9" t="str">
        <x:v>Laserdisc arcade</x:v>
      </x:c>
      <x:c r="Q424" s="9" t="str">
        <x:v>Released</x:v>
      </x:c>
      <x:c r="R424" s="9" t="str">
        <x:v>Original anime production (studio unknown — verify)</x:v>
      </x:c>
      <x:c r="S424" s="9" t="str">
        <x:v>None</x:v>
      </x:c>
      <x:c r="T424" s="9" t="str">
        <x:v>—</x:v>
      </x:c>
      <x:c r="U424" s="9" t="n">
        <x:v>1</x:v>
      </x:c>
      <x:c r="V424" s="9" t="str">
        <x:v>No</x:v>
      </x:c>
      <x:c r="W424" s="9" t="str">
        <x:v>8-way joystick with trigger + action button; kit for the Interstellar upright; laserdisc player model verify (likely Pioneer LD-V1000)</x:v>
      </x:c>
      <x:c r="X424" s="9" t="str">
        <x:v>Low</x:v>
      </x:c>
      <x:c r="Y424" s="9" t="str"/>
      <x:c r="Z424" s="9" t="str">
        <x:v>10–20 min</x:v>
      </x:c>
      <x:c r="AA424" s="9" t="str">
        <x:v>Funai's anime Dragon's Lair-meets-Space Ace: Don Davis swings a sword to save Princess Sindy from Emperor Esh.</x:v>
      </x:c>
      <x:c r="AB424" s="9" t="str">
        <x:v>None known</x:v>
      </x:c>
      <x:c r="AC424" s="9" t="str">
        <x:v>Full-screen anime; Dragon's Lair-style move choices with separate early and late death scenes</x:v>
      </x:c>
      <x:c r="AD424" s="9" t="str">
        <x:v>Dragon's Lair-style timing</x:v>
      </x:c>
      <x:c r="AE424" s="9" t="str">
        <x:v>Linear; single ending (verify)</x:v>
      </x:c>
      <x:c r="AF424" s="9" t="str">
        <x:v>The laserdisc carries English on one side and Japanese on the other.</x:v>
      </x:c>
      <x:c r="AG424" s="9" t="str">
        <x:v>Three MAME ROM sets; Hypseus esh, eshalt, eshalt2 plus fix sets; sold as Interstellar conversion kit</x:v>
      </x:c>
      <x:c r="AH424" s="9" t="str">
        <x:v>Yes (Hypseus Singe/Daphne 'esh' with disc image; MAME 'esh' not working; no re-release)</x:v>
      </x:c>
      <x:c r="AI424" s="9" t="str">
        <x:v>Arcade</x:v>
      </x:c>
      <x:c r="AJ424" s="9" t="str">
        <x:v>No public venue found with a dated source; cabinets are mostly with collectors. At home: Hypseus Singe/Daphne 'esh' with disc image; MAME 'esh' not working; no re-release.</x:v>
      </x:c>
      <x:c r="AK424" s="9" t="str">
        <x:v>MAME dates sets 1983; KLOV 1984 US flyer.</x:v>
      </x:c>
      <x:c r="AL424" s="10"/>
      <x:c r="AM424" s="10"/>
      <x:c r="AN424" s="10"/>
      <x:c r="AO424" s="9"/>
      <x:c r="AP424" s="9"/>
      <x:c r="AQ424" s="9"/>
      <x:c r="AR424" s="9"/>
      <x:c r="AS424" s="9"/>
      <x:c r="AT424" s="9"/>
      <x:c r="AU424" s="9"/>
      <x:c r="AV424" s="9"/>
      <x:c r="AW424" s="9"/>
      <x:c r="AX424" s="9"/>
      <x:c r="AY424" s="9"/>
      <x:c r="AZ424" s="9"/>
      <x:c r="BA424" s="11" t="str">
        <x:f>HYPERLINK("https://www.mobygames.com/search/?q=Esh%27s+Aurunmilla","MobyGames")</x:f>
        <x:v>MobyGames</x:v>
      </x:c>
      <x:c r="BB424" s="9"/>
      <x:c r="BC424" s="9"/>
      <x:c r="BD424" s="9"/>
      <x:c r="BE424" s="9"/>
      <x:c r="BF424" s="11" t="str">
        <x:f>HYPERLINK("https://backloggd.com/search/games/Esh%27s%20Aurunmilla/","Backloggd")</x:f>
        <x:v>Backloggd</x:v>
      </x:c>
      <x:c r="BG424" s="9"/>
      <x:c r="BH424" s="11" t="str">
        <x:f>HYPERLINK("https://arcade-museum.com/Videogame/eshs-aurunmilla","KLOV")</x:f>
        <x:v>KLOV</x:v>
      </x:c>
      <x:c r="BI424" s="12" t="str">
        <x:v>No</x:v>
      </x:c>
      <x:c r="BJ424" s="12" t="str"/>
      <x:c r="BK424" s="12" t="str">
        <x:v>No</x:v>
      </x:c>
      <x:c r="BL424" s="12" t="str"/>
      <x:c r="BM424" s="12" t="str"/>
      <x:c r="BN424" s="12" t="str"/>
      <x:c r="BO424" s="12" t="str"/>
      <x:c r="BP424" s="12" t="str"/>
      <x:c r="BQ424" s="12" t="str"/>
    </x:row>
    <x:row r="425">
      <x:c r="A425" s="9" t="str">
        <x:v>laserdisc-29</x:v>
      </x:c>
      <x:c r="B425" s="9" t="str">
        <x:v>mad-dog-mccree</x:v>
      </x:c>
      <x:c r="C425" s="9" t="str">
        <x:v>Laserdisc arcade</x:v>
      </x:c>
      <x:c r="D425" s="9" t="str">
        <x:v>Mad Dog McCree</x:v>
      </x:c>
      <x:c r="E425" s="9" t="str"/>
      <x:c r="F425" s="9" t="str">
        <x:v>American Laser Games</x:v>
      </x:c>
      <x:c r="G425" s="9" t="str">
        <x:v>American Laser Games (NA)</x:v>
      </x:c>
      <x:c r="H425" s="9" t="n">
        <x:v>1990</x:v>
      </x:c>
      <x:c r="I425" s="9" t="str">
        <x:v>Yes</x:v>
      </x:c>
      <x:c r="J425" s="9" t="str">
        <x:v>Yes</x:v>
      </x:c>
      <x:c r="K425" s="9" t="str">
        <x:v>Yes</x:v>
      </x:c>
      <x:c r="L425" s="9" t="str">
        <x:v>No</x:v>
      </x:c>
      <x:c r="M425" s="9" t="str">
        <x:v>Western light-gun shooter</x:v>
      </x:c>
      <x:c r="N425" s="9" t="str">
        <x:v>Live-action</x:v>
      </x:c>
      <x:c r="O425" s="9" t="n">
        <x:v>10</x:v>
      </x:c>
      <x:c r="P425" s="9" t="str">
        <x:v>American Laser Games</x:v>
      </x:c>
      <x:c r="Q425" s="9" t="str">
        <x:v>Released</x:v>
      </x:c>
      <x:c r="R425" s="9" t="str">
        <x:v>Original live-action western shot in New Mexico with local actors; directed by David Roberts, budget about $125,000</x:v>
      </x:c>
      <x:c r="S425" s="9" t="str">
        <x:v>MS-DOS, Windows, Sega CD, CD-i, 3DO, DVD TV game (Digital Leisure, 2001), Wii (Mad Dog McCree Gunslinger Pack, 2009), iOS, Nintendo 3DS, PS3/PSN</x:v>
      </x:c>
      <x:c r="T425" s="9" t="str">
        <x:v>Russ (Rusty) Dillen (Mad Dog), Lori Dillen (barfly), Ben Zeller (prospector), Carol Eason (undertaker)</x:v>
      </x:c>
      <x:c r="U425" s="9" t="n">
        <x:v>1</x:v>
      </x:c>
      <x:c r="V425" s="9" t="str">
        <x:v>No</x:v>
      </x:c>
      <x:c r="W425" s="9" t="str">
        <x:v>Upright cabinet with light gun; Amiga 500-based board (System Rev. A, later Rev. B two-gun) + genlock; Sony LDP-1450 laserdisc player</x:v>
      </x:c>
      <x:c r="X425" s="9" t="str">
        <x:v>Low</x:v>
      </x:c>
      <x:c r="Y425" s="9" t="str"/>
      <x:c r="Z425" s="9" t="str">
        <x:v>15–25 min</x:v>
      </x:c>
      <x:c r="AA425" s="9" t="str">
        <x:v>The game that started the whole live-action light-gun boom: shoot outlaws on real film and get mocked by the undertaker when you die.</x:v>
      </x:c>
      <x:c r="AB425" s="9" t="str">
        <x:v>Operator DIP/service settings for difficulty and lives (verify); no codes known</x:v>
      </x:c>
      <x:c r="AC425" s="9" t="str">
        <x:v>Full-screen live-action video from laserdisc with Amiga genlock overlay (score, bullets, lives, hit flashes)</x:v>
      </x:c>
      <x:c r="AD425" s="9" t="str">
        <x:v>Hard; fast outlaws, civilians to avoid, and quick-draw showdowns that need the gun holstered until 'draw'</x:v>
      </x:c>
      <x:c r="AE425" s="9" t="str">
        <x:v>One ending (rescue the sheriff and his daughter, beat Mad Dog); stage order varies</x:v>
      </x:c>
      <x:c r="AF425" s="9" t="str">
        <x:v>ALG grew out of police training simulators. Over 100 cabinets sold in North America by Feb 1991 and it topped RePlay's new-game chart Feb–Apr 1991.</x:v>
      </x:c>
      <x:c r="AG425" s="9" t="str">
        <x:v>Single-gun Rev. A cabinets (1990) and two-gun Rev. B hardware (1992); Japanese release Jan 1992</x:v>
      </x:c>
      <x:c r="AH425" s="9" t="str">
        <x:v>No verified current digital sale; original discs and legacy Digital Leisure editions (platforms vary).</x:v>
      </x:c>
      <x:c r="AI425" s="9" t="str">
        <x:v>Arcade</x:v>
      </x:c>
      <x:c r="AJ425" s="9" t="str">
        <x:v>Cabinets reported at Arcade Club, Bury / Leeds / Blackpool, UK (undated source); Retro Nerds e.V., Ahaus, NRW, Germany (undated source). Call ahead: floor lists change. At home: Digital Leisure PC CD-ROM, DVD, Wii, 3DS, iOS, PS3; ScummVM supports the DOS version in testing since Mar 2026; MAME has an ALG Amiga laserdisc driver that needs the disc as a CHD; working status (verify). Hypseus Singe community 'Singe' versions exist for the ALG library (verify). PC/DVD routes require original discs; current digital sale unverified.</x:v>
      </x:c>
      <x:c r="AK425" s="9" t="str">
        <x:v>Released Dec 1990 NA, Feb 1991 Europe, Jan 1992 Japan. Jaguar CD port announced but cancelled.</x:v>
      </x:c>
      <x:c r="AL425" s="10"/>
      <x:c r="AM425" s="10"/>
      <x:c r="AN425" s="10"/>
      <x:c r="AO425" s="9"/>
      <x:c r="AP425" s="9"/>
      <x:c r="AQ425" s="9"/>
      <x:c r="AR425" s="9"/>
      <x:c r="AS425" s="9"/>
      <x:c r="AT425" s="9"/>
      <x:c r="AU425" s="9"/>
      <x:c r="AV425" s="9"/>
      <x:c r="AW425" s="9"/>
      <x:c r="AX425" s="9"/>
      <x:c r="AY425" s="9"/>
      <x:c r="AZ425" s="9"/>
      <x:c r="BA425" s="11" t="str">
        <x:f>HYPERLINK("https://www.mobygames.com/search/?q=Mad+Dog+McCree","MobyGames")</x:f>
        <x:v>MobyGames</x:v>
      </x:c>
      <x:c r="BB425" s="9"/>
      <x:c r="BC425" s="9"/>
      <x:c r="BD425" s="9"/>
      <x:c r="BE425" s="11" t="str">
        <x:f>HYPERLINK("https://en.wikipedia.org/wiki/Mad_Dog_McCree","Wikipedia")</x:f>
        <x:v>Wikipedia</x:v>
      </x:c>
      <x:c r="BF425" s="11" t="str">
        <x:f>HYPERLINK("https://backloggd.com/search/games/Mad%20Dog%20McCree/","Backloggd")</x:f>
        <x:v>Backloggd</x:v>
      </x:c>
      <x:c r="BG425" s="9"/>
      <x:c r="BH425" s="11" t="str">
        <x:f>HYPERLINK("https://www.arcade-museum.com/Videogame/mad-dog-mccree","KLOV")</x:f>
        <x:v>KLOV</x:v>
      </x:c>
      <x:c r="BI425" s="12" t="str">
        <x:v>No</x:v>
      </x:c>
      <x:c r="BJ425" s="12" t="str"/>
      <x:c r="BK425" s="12" t="str">
        <x:v>No</x:v>
      </x:c>
      <x:c r="BL425" s="12" t="str"/>
      <x:c r="BM425" s="12" t="str"/>
      <x:c r="BN425" s="12" t="str"/>
      <x:c r="BO425" s="12" t="str"/>
      <x:c r="BP425" s="12" t="str"/>
      <x:c r="BQ425" s="12" t="str"/>
    </x:row>
    <x:row r="426">
      <x:c r="A426" s="9" t="str">
        <x:v>laserdisc-30</x:v>
      </x:c>
      <x:c r="B426" s="9" t="str">
        <x:v>who-shot-johnny-rock</x:v>
      </x:c>
      <x:c r="C426" s="9" t="str">
        <x:v>Laserdisc arcade</x:v>
      </x:c>
      <x:c r="D426" s="9" t="str">
        <x:v>Who Shot Johnny Rock?</x:v>
      </x:c>
      <x:c r="E426" s="9" t="str">
        <x:v>Who Killed Johnny Rock? (1991 AMOA show title)</x:v>
      </x:c>
      <x:c r="F426" s="9" t="str">
        <x:v>American Laser Games</x:v>
      </x:c>
      <x:c r="G426" s="9" t="str">
        <x:v>American Laser Games (NA)</x:v>
      </x:c>
      <x:c r="H426" s="9" t="n">
        <x:v>1991</x:v>
      </x:c>
      <x:c r="I426" s="9" t="str">
        <x:v>Yes</x:v>
      </x:c>
      <x:c r="J426" s="9" t="str">
        <x:v>No</x:v>
      </x:c>
      <x:c r="K426" s="9" t="str">
        <x:v>Yes</x:v>
      </x:c>
      <x:c r="L426" s="9" t="str">
        <x:v>No</x:v>
      </x:c>
      <x:c r="M426" s="9" t="str">
        <x:v>1930s gangster light-gun shooter</x:v>
      </x:c>
      <x:c r="N426" s="9" t="str">
        <x:v>Live-action</x:v>
      </x:c>
      <x:c r="O426" s="9" t="n">
        <x:v>10</x:v>
      </x:c>
      <x:c r="P426" s="9" t="str">
        <x:v>American Laser Games</x:v>
      </x:c>
      <x:c r="Q426" s="9" t="str">
        <x:v>Released</x:v>
      </x:c>
      <x:c r="R426" s="9" t="str">
        <x:v>Original live-action gangster story; directed by David Roberts, designed by Kylene Wing</x:v>
      </x:c>
      <x:c r="S426" s="9" t="str">
        <x:v>MS-DOS, Sega CD, 3DO, CD-i, DVD TV game (Digital Leisure, 2001), Windows (2003)</x:v>
      </x:c>
      <x:c r="T426" s="9" t="str">
        <x:v>Unknown — verify (uncredited local actors)</x:v>
      </x:c>
      <x:c r="U426" s="9" t="n">
        <x:v>1</x:v>
      </x:c>
      <x:c r="V426" s="9" t="str">
        <x:v>No</x:v>
      </x:c>
      <x:c r="W426" s="9" t="str">
        <x:v>Upright cabinet with light gun(s) (25", 33" or 50" monitor options on later titles); Amiga 500-based board + Roctec genlock; Sony LDP-1450 (Lasermax) laserdisc player</x:v>
      </x:c>
      <x:c r="X426" s="9" t="str">
        <x:v>Low</x:v>
      </x:c>
      <x:c r="Y426" s="9" t="str"/>
      <x:c r="Z426" s="9" t="str">
        <x:v>15–25 min</x:v>
      </x:c>
      <x:c r="AA426" s="9" t="str">
        <x:v>A noir whodunit you solve with a tommy gun, paying for ammo and the doctor out of your own pocket.</x:v>
      </x:c>
      <x:c r="AB426" s="9" t="str">
        <x:v>Operator DIP/service settings for difficulty and lives (verify); no codes known</x:v>
      </x:c>
      <x:c r="AC426" s="9" t="str">
        <x:v>Full-screen live-action video from laserdisc with Amiga genlock overlay (score, bullets, lives, hit flashes)</x:v>
      </x:c>
      <x:c r="AD426" s="9" t="str">
        <x:v>Moderate; money is your life bar, and shooting bystanders costs funeral fees</x:v>
      </x:c>
      <x:c r="AE426" s="9" t="str">
        <x:v>Killer is picked at random from four suspects each play; one win ending</x:v>
      </x:c>
      <x:c r="AF426" s="9" t="str">
        <x:v>Sinclair User gave the arcade version its 1991 'Best Follow-Up Game' award. Shown on GamesMaster with Tony Slattery.</x:v>
      </x:c>
      <x:c r="AG426" s="9" t="str">
        <x:v>Ran on both Rev. A (one gun) and Rev. B (two gun) ALG hardware</x:v>
      </x:c>
      <x:c r="AH426" s="9" t="str">
        <x:v>No verified current digital sale; original discs and legacy Digital Leisure editions (platforms vary).</x:v>
      </x:c>
      <x:c r="AI426" s="9" t="str">
        <x:v>Arcade</x:v>
      </x:c>
      <x:c r="AJ426" s="9" t="str">
        <x:v>No public venue found with a dated source; cabinets are mostly with collectors. At home: Digital Leisure PC CD-ROM, DVD; ScummVM supports the DOS version in testing since Mar 2026; MAME has an ALG Amiga laserdisc driver that needs the disc as a CHD; working status (verify). Hypseus Singe community 'Singe' versions exist for the ALG library (verify). PC/DVD routes require original discs; current digital sale unverified.</x:v>
      </x:c>
      <x:c r="AK426" s="9" t="str">
        <x:v>Europe release assumed from UK coverage (verify). Unusually for ALG, the hero has a name.</x:v>
      </x:c>
      <x:c r="AL426" s="10"/>
      <x:c r="AM426" s="10"/>
      <x:c r="AN426" s="10"/>
      <x:c r="AO426" s="9"/>
      <x:c r="AP426" s="9"/>
      <x:c r="AQ426" s="9"/>
      <x:c r="AR426" s="9"/>
      <x:c r="AS426" s="9"/>
      <x:c r="AT426" s="9"/>
      <x:c r="AU426" s="9"/>
      <x:c r="AV426" s="9"/>
      <x:c r="AW426" s="9"/>
      <x:c r="AX426" s="9"/>
      <x:c r="AY426" s="9"/>
      <x:c r="AZ426" s="9" t="str">
        <x:v>3.0</x:v>
      </x:c>
      <x:c r="BA426" s="11" t="str">
        <x:f>HYPERLINK("https://www.mobygames.com/game/arcade/who-shot-johnny-rock","MobyGames")</x:f>
        <x:v>MobyGames</x:v>
      </x:c>
      <x:c r="BB426" s="9"/>
      <x:c r="BC426" s="9"/>
      <x:c r="BD426" s="9"/>
      <x:c r="BE426" s="11" t="str">
        <x:f>HYPERLINK("https://en.wikipedia.org/wiki/Who_Shot_Johnny_Rock%3F","Wikipedia")</x:f>
        <x:v>Wikipedia</x:v>
      </x:c>
      <x:c r="BF426" s="11" t="str">
        <x:f>HYPERLINK("https://backloggd.com/search/games/Who%20Shot%20Johnny%20Rock%3F/","Backloggd")</x:f>
        <x:v>Backloggd</x:v>
      </x:c>
      <x:c r="BG426" s="9"/>
      <x:c r="BH426" s="9"/>
      <x:c r="BI426" s="12" t="str">
        <x:v>No</x:v>
      </x:c>
      <x:c r="BJ426" s="12" t="str"/>
      <x:c r="BK426" s="12" t="str">
        <x:v>No</x:v>
      </x:c>
      <x:c r="BL426" s="12" t="str"/>
      <x:c r="BM426" s="12" t="str"/>
      <x:c r="BN426" s="12" t="str"/>
      <x:c r="BO426" s="12" t="str"/>
      <x:c r="BP426" s="12" t="str"/>
      <x:c r="BQ426" s="12" t="str"/>
    </x:row>
    <x:row r="427">
      <x:c r="A427" s="9" t="str">
        <x:v>laserdisc-31</x:v>
      </x:c>
      <x:c r="B427" s="9" t="str">
        <x:v>mad-dog-ii-the-lost-gold</x:v>
      </x:c>
      <x:c r="C427" s="9" t="str">
        <x:v>Laserdisc arcade</x:v>
      </x:c>
      <x:c r="D427" s="9" t="str">
        <x:v>Mad Dog II: The Lost Gold</x:v>
      </x:c>
      <x:c r="E427" s="9" t="str"/>
      <x:c r="F427" s="9" t="str">
        <x:v>American Laser Games</x:v>
      </x:c>
      <x:c r="G427" s="9" t="str">
        <x:v>American Laser Games (NA)</x:v>
      </x:c>
      <x:c r="H427" s="9" t="n">
        <x:v>1992</x:v>
      </x:c>
      <x:c r="I427" s="9" t="str">
        <x:v>Yes</x:v>
      </x:c>
      <x:c r="J427" s="9" t="str">
        <x:v>No</x:v>
      </x:c>
      <x:c r="K427" s="9" t="str">
        <x:v>No</x:v>
      </x:c>
      <x:c r="L427" s="9" t="str">
        <x:v>No</x:v>
      </x:c>
      <x:c r="M427" s="9" t="str">
        <x:v>Western light-gun shooter</x:v>
      </x:c>
      <x:c r="N427" s="9" t="str">
        <x:v>Live-action</x:v>
      </x:c>
      <x:c r="O427" s="9" t="n">
        <x:v>10</x:v>
      </x:c>
      <x:c r="P427" s="9" t="str">
        <x:v>American Laser Games</x:v>
      </x:c>
      <x:c r="Q427" s="9" t="str">
        <x:v>Released</x:v>
      </x:c>
      <x:c r="R427" s="9" t="str">
        <x:v>Original live-action sequel to Mad Dog McCree, shot in New Mexico</x:v>
      </x:c>
      <x:c r="S427" s="9" t="str">
        <x:v>Sega CD, 3DO, CD-i (1994), MS-DOS (1996), DVD TV game (Digital Leisure, 2003), Wii (Mad Dog McCree Gunslinger Pack, 2009), PS3/PSN (2013)</x:v>
      </x:c>
      <x:c r="T427" s="9" t="str">
        <x:v>Ben Zeller (stagecoach driver); the other actors are not named in available sources</x:v>
      </x:c>
      <x:c r="U427" s="9" t="n">
        <x:v>1</x:v>
      </x:c>
      <x:c r="V427" s="9" t="str">
        <x:v>No</x:v>
      </x:c>
      <x:c r="W427" s="9" t="str">
        <x:v>Upright cabinet with light gun(s) (25", 33" or 50" monitor options on later titles); Amiga 500-based board + Roctec genlock; Sony LDP-1450 (Lasermax) laserdisc player</x:v>
      </x:c>
      <x:c r="X427" s="9" t="str">
        <x:v>Low</x:v>
      </x:c>
      <x:c r="Y427" s="9" t="str"/>
      <x:c r="Z427" s="9" t="str">
        <x:v>20–30 min</x:v>
      </x:c>
      <x:c r="AA427" s="9" t="str">
        <x:v>Pick one of three guides and three different routes to Mad Dog's hidden gold, with a train shootout finale.</x:v>
      </x:c>
      <x:c r="AB427" s="9" t="str">
        <x:v>Operator DIP/service settings for difficulty and lives (verify); no codes known</x:v>
      </x:c>
      <x:c r="AC427" s="9" t="str">
        <x:v>Full-screen live-action video from laserdisc with Amiga genlock overlay (score, bullets, lives, hit flashes)</x:v>
      </x:c>
      <x:c r="AD427" s="9" t="str">
        <x:v>Hard; three lives, civilians on screen, quick-draw duels</x:v>
      </x:c>
      <x:c r="AE427" s="9" t="str">
        <x:v>Three guide routes converge on the train and hideout; treasure chest holds sand if you used more than one credit</x:v>
      </x:c>
      <x:c r="AF427" s="9" t="str">
        <x:v>The 'sand in the chest' joke ending only plays if you continue; it was cut from the CD-i and DVD versions.</x:v>
      </x:c>
      <x:c r="AG427" s="9" t="str">
        <x:v>Rev. B two-gun hardware</x:v>
      </x:c>
      <x:c r="AH427" s="9" t="str">
        <x:v>No verified current digital sale; original discs and legacy Digital Leisure editions (platforms vary).</x:v>
      </x:c>
      <x:c r="AI427" s="9" t="str">
        <x:v>Arcade</x:v>
      </x:c>
      <x:c r="AJ427" s="9" t="str">
        <x:v>No public venue found with a dated source; cabinets are mostly with collectors. At home: Digital Leisure DVD, Wii, PS3/PSN, legacy physical editions; ScummVM supports the DOS version in testing since Mar 2026; MAME has an ALG Amiga laserdisc driver that needs the disc as a CHD; working status (verify). Hypseus Singe community 'Singe' versions exist for the ALG library (verify). PC/DVD routes require original discs; current digital sale unverified.</x:v>
      </x:c>
      <x:c r="AK427" s="9" t="str">
        <x:v>AllGame gave the arcade version 3/5.</x:v>
      </x:c>
      <x:c r="AL427" s="10"/>
      <x:c r="AM427" s="10"/>
      <x:c r="AN427" s="10"/>
      <x:c r="AO427" s="9"/>
      <x:c r="AP427" s="9"/>
      <x:c r="AQ427" s="9"/>
      <x:c r="AR427" s="9"/>
      <x:c r="AS427" s="9"/>
      <x:c r="AT427" s="9"/>
      <x:c r="AU427" s="9"/>
      <x:c r="AV427" s="9"/>
      <x:c r="AW427" s="9"/>
      <x:c r="AX427" s="9"/>
      <x:c r="AY427" s="9"/>
      <x:c r="AZ427" s="9" t="str">
        <x:v>5.0</x:v>
      </x:c>
      <x:c r="BA427" s="11" t="str">
        <x:f>HYPERLINK("https://www.mobygames.com/game/arcade/mad-dog-ii-the-lost-gold","MobyGames")</x:f>
        <x:v>MobyGames</x:v>
      </x:c>
      <x:c r="BB427" s="9" t="str">
        <x:v>60%</x:v>
      </x:c>
      <x:c r="BC427" s="9" t="str">
        <x:v>average of 1 review on Wikipedia (Allgame)</x:v>
      </x:c>
      <x:c r="BD427" s="9" t="str">
        <x:f>HYPERLINK("https://en.wikipedia.org/wiki/Mad_Dog_II%3A_The_Lost_Gold","Source")</x:f>
        <x:v>Source</x:v>
      </x:c>
      <x:c r="BE427" s="11" t="str">
        <x:f>HYPERLINK("https://en.wikipedia.org/wiki/Mad_Dog_II:_The_Lost_Gold","Wikipedia")</x:f>
        <x:v>Wikipedia</x:v>
      </x:c>
      <x:c r="BF427" s="11" t="str">
        <x:f>HYPERLINK("https://backloggd.com/search/games/Mad%20Dog%20II%3A%20The%20Lost%20Gold/","Backloggd")</x:f>
        <x:v>Backloggd</x:v>
      </x:c>
      <x:c r="BG427" s="9"/>
      <x:c r="BH427" s="9"/>
      <x:c r="BI427" s="12" t="str">
        <x:v>No</x:v>
      </x:c>
      <x:c r="BJ427" s="12" t="str"/>
      <x:c r="BK427" s="12" t="str">
        <x:v>No</x:v>
      </x:c>
      <x:c r="BL427" s="12" t="str"/>
      <x:c r="BM427" s="12" t="str"/>
      <x:c r="BN427" s="12" t="str"/>
      <x:c r="BO427" s="12" t="str"/>
      <x:c r="BP427" s="12" t="str"/>
      <x:c r="BQ427" s="12" t="str"/>
    </x:row>
    <x:row r="428">
      <x:c r="A428" s="9" t="str">
        <x:v>laserdisc-32</x:v>
      </x:c>
      <x:c r="B428" s="9" t="str">
        <x:v>space-pirates</x:v>
      </x:c>
      <x:c r="C428" s="9" t="str">
        <x:v>Laserdisc arcade</x:v>
      </x:c>
      <x:c r="D428" s="9" t="str">
        <x:v>Space Pirates</x:v>
      </x:c>
      <x:c r="E428" s="9" t="str"/>
      <x:c r="F428" s="9" t="str">
        <x:v>American Laser Games</x:v>
      </x:c>
      <x:c r="G428" s="9" t="str">
        <x:v>American Laser Games (NA)</x:v>
      </x:c>
      <x:c r="H428" s="9" t="n">
        <x:v>1992</x:v>
      </x:c>
      <x:c r="I428" s="9" t="str">
        <x:v>Yes</x:v>
      </x:c>
      <x:c r="J428" s="9" t="str">
        <x:v>No</x:v>
      </x:c>
      <x:c r="K428" s="9" t="str">
        <x:v>No</x:v>
      </x:c>
      <x:c r="L428" s="9" t="str">
        <x:v>No</x:v>
      </x:c>
      <x:c r="M428" s="9" t="str">
        <x:v>Sci-fi light-gun shooter</x:v>
      </x:c>
      <x:c r="N428" s="9" t="str">
        <x:v>Live-action + CG</x:v>
      </x:c>
      <x:c r="O428" s="9" t="n">
        <x:v>10</x:v>
      </x:c>
      <x:c r="P428" s="9" t="str">
        <x:v>American Laser Games</x:v>
      </x:c>
      <x:c r="Q428" s="9" t="str">
        <x:v>Released</x:v>
      </x:c>
      <x:c r="R428" s="9" t="str">
        <x:v>Original live-action sci-fi production with CG/composited space effects; directed by Barry Kirk</x:v>
      </x:c>
      <x:c r="S428" s="9" t="str">
        <x:v>MS-DOS (1994), 3DO (1995), DVD TV game (Digital Leisure, ~2003)</x:v>
      </x:c>
      <x:c r="T428" s="9" t="str">
        <x:v>Ben Zeller (old man); the other actors are not named in available sources</x:v>
      </x:c>
      <x:c r="U428" s="9" t="n">
        <x:v>1</x:v>
      </x:c>
      <x:c r="V428" s="9" t="str">
        <x:v>No</x:v>
      </x:c>
      <x:c r="W428" s="9" t="str">
        <x:v>Upright cabinet with light gun(s) (25", 33" or 50" monitor options on later titles); Amiga 500-based board + Roctec genlock; Sony LDP-1450 (Lasermax) laserdisc player</x:v>
      </x:c>
      <x:c r="X428" s="9" t="str">
        <x:v>Low</x:v>
      </x:c>
      <x:c r="Y428" s="9" t="str"/>
      <x:c r="Z428" s="9" t="str">
        <x:v>20–30 min</x:v>
      </x:c>
      <x:c r="AA428" s="9" t="str">
        <x:v>ALG goes to space: blue-screen sets, laser pistols and a crystal hunt across four planets.</x:v>
      </x:c>
      <x:c r="AB428" s="9" t="str">
        <x:v>Operator DIP/service settings for difficulty and lives (verify); no codes known</x:v>
      </x:c>
      <x:c r="AC428" s="9" t="str">
        <x:v>Full-screen live-action video from laserdisc with Amiga genlock overlay (score, bullets, lives, hit flashes)</x:v>
      </x:c>
      <x:c r="AD428" s="9" t="str">
        <x:v>Moderate; life-support energy drains on misses and civilian hits, gun recharges itself</x:v>
      </x:c>
      <x:c r="AE428" s="9" t="str">
        <x:v>One ending; planets visited in any order, crystals must be inserted in the right order</x:v>
      </x:c>
      <x:c r="AF428" s="9" t="str">
        <x:v>Ben Zeller, the Mad Dog prospector, returns as the scolding old man. Writer Jim Pattinson also designed Mad Dog McCree.</x:v>
      </x:c>
      <x:c r="AG428" s="9" t="str">
        <x:v>Rev. B two-gun hardware</x:v>
      </x:c>
      <x:c r="AH428" s="9" t="str">
        <x:v>No verified current digital sale; original discs and legacy Digital Leisure editions (platforms vary).</x:v>
      </x:c>
      <x:c r="AI428" s="9" t="str">
        <x:v>Arcade</x:v>
      </x:c>
      <x:c r="AJ428" s="9" t="str">
        <x:v>No public venue found with a dated source; cabinets are mostly with collectors. At home: Digital Leisure PC CD-ROM, DVD; ScummVM supports the DOS version in testing since Mar 2026; MAME has an ALG Amiga laserdisc driver that needs the disc as a CHD; working status (verify). Hypseus Singe community 'Singe' versions exist for the ALG library (verify). PC/DVD routes require original discs; current digital sale unverified.</x:v>
      </x:c>
      <x:c r="AK428" s="9" t="str">
        <x:v>No Sega CD or CD-i port.</x:v>
      </x:c>
      <x:c r="AL428" s="10"/>
      <x:c r="AM428" s="10"/>
      <x:c r="AN428" s="10"/>
      <x:c r="AO428" s="9"/>
      <x:c r="AP428" s="9"/>
      <x:c r="AQ428" s="9"/>
      <x:c r="AR428" s="9"/>
      <x:c r="AS428" s="9"/>
      <x:c r="AT428" s="9"/>
      <x:c r="AU428" s="9"/>
      <x:c r="AV428" s="9"/>
      <x:c r="AW428" s="9"/>
      <x:c r="AX428" s="9"/>
      <x:c r="AY428" s="9"/>
      <x:c r="AZ428" s="9"/>
      <x:c r="BA428" s="11" t="str">
        <x:f>HYPERLINK("https://www.mobygames.com/search/?q=Space+Pirates","MobyGames")</x:f>
        <x:v>MobyGames</x:v>
      </x:c>
      <x:c r="BB428" s="9"/>
      <x:c r="BC428" s="9"/>
      <x:c r="BD428" s="9"/>
      <x:c r="BE428" s="11" t="str">
        <x:f>HYPERLINK("https://en.wikipedia.org/wiki/Space_Pirates_(video_game)","Wikipedia")</x:f>
        <x:v>Wikipedia</x:v>
      </x:c>
      <x:c r="BF428" s="11" t="str">
        <x:f>HYPERLINK("https://backloggd.com/search/games/Space%20Pirates/","Backloggd")</x:f>
        <x:v>Backloggd</x:v>
      </x:c>
      <x:c r="BG428" s="9"/>
      <x:c r="BH428" s="9"/>
      <x:c r="BI428" s="12" t="str">
        <x:v>No</x:v>
      </x:c>
      <x:c r="BJ428" s="12" t="str"/>
      <x:c r="BK428" s="12" t="str">
        <x:v>No</x:v>
      </x:c>
      <x:c r="BL428" s="12" t="str"/>
      <x:c r="BM428" s="12" t="str"/>
      <x:c r="BN428" s="12" t="str"/>
      <x:c r="BO428" s="12" t="str"/>
      <x:c r="BP428" s="12" t="str"/>
      <x:c r="BQ428" s="12" t="str"/>
    </x:row>
    <x:row r="429">
      <x:c r="A429" s="9" t="str">
        <x:v>laserdisc-33</x:v>
      </x:c>
      <x:c r="B429" s="9" t="str">
        <x:v>gallaghers-gallery</x:v>
      </x:c>
      <x:c r="C429" s="9" t="str">
        <x:v>Laserdisc arcade</x:v>
      </x:c>
      <x:c r="D429" s="9" t="str">
        <x:v>Gallagher's Gallery</x:v>
      </x:c>
      <x:c r="E429" s="9" t="str"/>
      <x:c r="F429" s="9" t="str">
        <x:v>American Laser Games</x:v>
      </x:c>
      <x:c r="G429" s="9" t="str">
        <x:v>American Laser Games (NA)</x:v>
      </x:c>
      <x:c r="H429" s="9" t="n">
        <x:v>1992</x:v>
      </x:c>
      <x:c r="I429" s="9" t="str">
        <x:v>Yes</x:v>
      </x:c>
      <x:c r="J429" s="9" t="str">
        <x:v>No</x:v>
      </x:c>
      <x:c r="K429" s="9" t="str">
        <x:v>No</x:v>
      </x:c>
      <x:c r="L429" s="9" t="str">
        <x:v>No</x:v>
      </x:c>
      <x:c r="M429" s="9" t="str">
        <x:v>Shooting gallery</x:v>
      </x:c>
      <x:c r="N429" s="9" t="str">
        <x:v>Live-action</x:v>
      </x:c>
      <x:c r="O429" s="9" t="n">
        <x:v>10</x:v>
      </x:c>
      <x:c r="P429" s="9" t="str">
        <x:v>American Laser Games</x:v>
      </x:c>
      <x:c r="Q429" s="9" t="str">
        <x:v>Released</x:v>
      </x:c>
      <x:c r="R429" s="9" t="str">
        <x:v>Original live-action shoot starring comedian Gallagher</x:v>
      </x:c>
      <x:c r="S429" s="9" t="str">
        <x:v>None</x:v>
      </x:c>
      <x:c r="T429" s="9" t="str">
        <x:v>Gallagher (Leo Gallagher)</x:v>
      </x:c>
      <x:c r="U429" s="9" t="n">
        <x:v>1</x:v>
      </x:c>
      <x:c r="V429" s="9" t="str">
        <x:v>No</x:v>
      </x:c>
      <x:c r="W429" s="9" t="str">
        <x:v>Upright cabinet with light gun(s) (25", 33" or 50" monitor options on later titles); Amiga 500-based board + Roctec genlock; Sony LDP-1450 (Lasermax) laserdisc player</x:v>
      </x:c>
      <x:c r="X429" s="9" t="str">
        <x:v>Low–Med</x:v>
      </x:c>
      <x:c r="Y429" s="9" t="str">
        <x:v>Gallagher's likeness/comedy material (low claim risk, but celebrity footage)</x:v>
      </x:c>
      <x:c r="Z429" s="9" t="str">
        <x:v>5–10 min</x:v>
      </x:c>
      <x:c r="AA429" s="9" t="str">
        <x:v>The watermelon-smashing comedian yells at you to shoot soup cans in ALG's oddest, never-ported shooting gallery.</x:v>
      </x:c>
      <x:c r="AB429" s="9" t="str">
        <x:v>Operator DIP/service settings for difficulty and lives (verify); no codes known</x:v>
      </x:c>
      <x:c r="AC429" s="9" t="str">
        <x:v>Full-screen live-action video from laserdisc with Amiga genlock overlay (score, bullets, lives, hit flashes)</x:v>
      </x:c>
      <x:c r="AD429" s="9" t="str">
        <x:v>Easy to moderate; shoot only what Gallagher calls out</x:v>
      </x:c>
      <x:c r="AE429" s="9" t="str">
        <x:v>None; score attack</x:v>
      </x:c>
      <x:c r="AF429" s="9" t="str">
        <x:v>Gallagher said starring in his own video game was one of his ambitions. It is the only ALG laserdisc game never ported home.</x:v>
      </x:c>
      <x:c r="AG429" s="9" t="str">
        <x:v>Rev. B two-gun hardware; released May 1992</x:v>
      </x:c>
      <x:c r="AH429" s="9" t="str">
        <x:v>No (no home port; MAME has an ALG Amiga laserdisc driver that needs the disc as a CHD; working status (verify). Hypseus Singe community 'Singe' versions exist for the ALG library (verify); arcade-history lists a MAME ROM dump)</x:v>
      </x:c>
      <x:c r="AI429" s="9" t="str">
        <x:v>Arcade</x:v>
      </x:c>
      <x:c r="AJ429" s="9" t="str">
        <x:v>No public venue found with a dated source; cabinets are mostly with collectors. At home: No home port; MAME has an ALG Amiga laserdisc driver that needs the disc as a CHD; working status (verify). Hypseus Singe community 'Singe' versions exist for the ALG library (verify); arcade-history lists a MAME ROM dump.</x:v>
      </x:c>
      <x:c r="AK429" s="9" t="str">
        <x:v>Released May 1992 per arcade-history. Two players, 68000 main CPU listed. Arcade History: https://www.arcade-history.com/game/4488/</x:v>
      </x:c>
      <x:c r="AL429" s="10"/>
      <x:c r="AM429" s="10"/>
      <x:c r="AN429" s="10"/>
      <x:c r="AO429" s="9"/>
      <x:c r="AP429" s="9"/>
      <x:c r="AQ429" s="9"/>
      <x:c r="AR429" s="9"/>
      <x:c r="AS429" s="9"/>
      <x:c r="AT429" s="9"/>
      <x:c r="AU429" s="9"/>
      <x:c r="AV429" s="9"/>
      <x:c r="AW429" s="9"/>
      <x:c r="AX429" s="9"/>
      <x:c r="AY429" s="9"/>
      <x:c r="AZ429" s="9"/>
      <x:c r="BA429" s="11" t="str">
        <x:f>HYPERLINK("https://www.mobygames.com/search/?q=Gallagher%27s+Gallery","MobyGames")</x:f>
        <x:v>MobyGames</x:v>
      </x:c>
      <x:c r="BB429" s="9"/>
      <x:c r="BC429" s="9"/>
      <x:c r="BD429" s="9"/>
      <x:c r="BE429" s="9"/>
      <x:c r="BF429" s="11" t="str">
        <x:f>HYPERLINK("https://backloggd.com/search/games/Gallagher%27s%20Gallery/","Backloggd")</x:f>
        <x:v>Backloggd</x:v>
      </x:c>
      <x:c r="BG429" s="9"/>
      <x:c r="BH429" s="11" t="str">
        <x:f>HYPERLINK("https://arcade-museum.com/Videogame/gallagher","KLOV")</x:f>
        <x:v>KLOV</x:v>
      </x:c>
      <x:c r="BI429" s="12" t="str">
        <x:v>No</x:v>
      </x:c>
      <x:c r="BJ429" s="12" t="str"/>
      <x:c r="BK429" s="12" t="str">
        <x:v>No</x:v>
      </x:c>
      <x:c r="BL429" s="12" t="str"/>
      <x:c r="BM429" s="12" t="str"/>
      <x:c r="BN429" s="12" t="str"/>
      <x:c r="BO429" s="12" t="str"/>
      <x:c r="BP429" s="12" t="str"/>
      <x:c r="BQ429" s="12" t="str"/>
    </x:row>
    <x:row r="430">
      <x:c r="A430" s="9" t="str">
        <x:v>laserdisc-34</x:v>
      </x:c>
      <x:c r="B430" s="9" t="str">
        <x:v>crime-patrol</x:v>
      </x:c>
      <x:c r="C430" s="9" t="str">
        <x:v>Laserdisc arcade</x:v>
      </x:c>
      <x:c r="D430" s="9" t="str">
        <x:v>Crime Patrol</x:v>
      </x:c>
      <x:c r="E430" s="9" t="str"/>
      <x:c r="F430" s="9" t="str">
        <x:v>American Laser Games</x:v>
      </x:c>
      <x:c r="G430" s="9" t="str">
        <x:v>American Laser Games (NA)</x:v>
      </x:c>
      <x:c r="H430" s="9" t="n">
        <x:v>1993</x:v>
      </x:c>
      <x:c r="I430" s="9" t="str">
        <x:v>Yes</x:v>
      </x:c>
      <x:c r="J430" s="9" t="str">
        <x:v>Yes</x:v>
      </x:c>
      <x:c r="K430" s="9" t="str">
        <x:v>Yes</x:v>
      </x:c>
      <x:c r="L430" s="9" t="str">
        <x:v>No</x:v>
      </x:c>
      <x:c r="M430" s="9" t="str">
        <x:v>Police light-gun shooter</x:v>
      </x:c>
      <x:c r="N430" s="9" t="str">
        <x:v>Live-action</x:v>
      </x:c>
      <x:c r="O430" s="9" t="n">
        <x:v>10</x:v>
      </x:c>
      <x:c r="P430" s="9" t="str">
        <x:v>American Laser Games</x:v>
      </x:c>
      <x:c r="Q430" s="9" t="str">
        <x:v>Released</x:v>
      </x:c>
      <x:c r="R430" s="9" t="str">
        <x:v>Original live-action police drama shot in New Mexico; final mission partly filmed in night vision</x:v>
      </x:c>
      <x:c r="S430" s="9" t="str">
        <x:v>3DO (1993), Sega CD (1994), MS-DOS, Mac (1994), CD-i (1996), DVD TV game (2001), Windows (2002, Russia via 1C)</x:v>
      </x:c>
      <x:c r="T430" s="9" t="str">
        <x:v>Uncredited Albuquerque-area actors — verify</x:v>
      </x:c>
      <x:c r="U430" s="9" t="n">
        <x:v>1</x:v>
      </x:c>
      <x:c r="V430" s="9" t="str">
        <x:v>No</x:v>
      </x:c>
      <x:c r="W430" s="9" t="str">
        <x:v>Upright cabinet with light gun(s) (25", 33" or 50" monitor options on later titles); Amiga 500-based board + Roctec genlock; Sony LDP-1450 (Lasermax) laserdisc player</x:v>
      </x:c>
      <x:c r="X430" s="9" t="str">
        <x:v>Low</x:v>
      </x:c>
      <x:c r="Y430" s="9" t="str"/>
      <x:c r="Z430" s="9" t="str">
        <x:v>20–30 min</x:v>
      </x:c>
      <x:c r="AA430" s="9" t="str">
        <x:v>Rise from rookie to Delta Force, one cheesy bust after another, in ALG's most-ported cop shooter.</x:v>
      </x:c>
      <x:c r="AB430" s="9" t="str">
        <x:v>Operator DIP/service settings for difficulty and lives (verify); no codes known</x:v>
      </x:c>
      <x:c r="AC430" s="9" t="str">
        <x:v>Full-screen live-action video from laserdisc with Amiga genlock overlay (score, bullets, lives, hit flashes)</x:v>
      </x:c>
      <x:c r="AD430" s="9" t="str">
        <x:v>Moderate; three lives, reload by shooting off-screen, practice range available</x:v>
      </x:c>
      <x:c r="AE430" s="9" t="str">
        <x:v>One ending after the plutonium-theft final mission</x:v>
      </x:c>
      <x:c r="AF430" s="9" t="str">
        <x:v>Play Meter ranked it the 9th most popular arcade game of July 1993. PlayStation and Saturn ports were cancelled at the last minute in 1996.</x:v>
      </x:c>
      <x:c r="AG430" s="9" t="str">
        <x:v>Rev. B two-gun hardware</x:v>
      </x:c>
      <x:c r="AH430" s="9" t="str">
        <x:v>No verified current digital sale; original discs and legacy Digital Leisure editions (platforms vary).</x:v>
      </x:c>
      <x:c r="AI430" s="9" t="str">
        <x:v>Arcade</x:v>
      </x:c>
      <x:c r="AJ430" s="9" t="str">
        <x:v>No public venue found with a dated source; cabinets are mostly with collectors. At home: Digital Leisure PC CD-ROM, DVD; ScummVM supports the DOS version in testing since Mar 2026; MAME has an ALG Amiga laserdisc driver that needs the disc as a CHD; working status (verify). Hypseus Singe community 'Singe' versions exist for the ALG library (verify). PC/DVD routes require original discs; current digital sale unverified.</x:v>
      </x:c>
      <x:c r="AK430" s="9" t="str">
        <x:v>Arcade May 1993 NA, 1993 Europe, Oct 1993 Japan. Jaguar CD port announced but cancelled.</x:v>
      </x:c>
      <x:c r="AL430" s="10"/>
      <x:c r="AM430" s="10"/>
      <x:c r="AN430" s="10"/>
      <x:c r="AO430" s="9"/>
      <x:c r="AP430" s="9"/>
      <x:c r="AQ430" s="9"/>
      <x:c r="AR430" s="9"/>
      <x:c r="AS430" s="9"/>
      <x:c r="AT430" s="9"/>
      <x:c r="AU430" s="9"/>
      <x:c r="AV430" s="9"/>
      <x:c r="AW430" s="9"/>
      <x:c r="AX430" s="9"/>
      <x:c r="AY430" s="9"/>
      <x:c r="AZ430" s="9"/>
      <x:c r="BA430" s="11" t="str">
        <x:f>HYPERLINK("https://www.mobygames.com/search/?q=Crime+Patrol","MobyGames")</x:f>
        <x:v>MobyGames</x:v>
      </x:c>
      <x:c r="BB430" s="9"/>
      <x:c r="BC430" s="9"/>
      <x:c r="BD430" s="9"/>
      <x:c r="BE430" s="11" t="str">
        <x:f>HYPERLINK("https://en.wikipedia.org/wiki/Crime_Patrol_(video_game)","Wikipedia")</x:f>
        <x:v>Wikipedia</x:v>
      </x:c>
      <x:c r="BF430" s="11" t="str">
        <x:f>HYPERLINK("https://backloggd.com/search/games/Crime%20Patrol/","Backloggd")</x:f>
        <x:v>Backloggd</x:v>
      </x:c>
      <x:c r="BG430" s="9"/>
      <x:c r="BH430" s="11" t="str">
        <x:f>HYPERLINK("https://www.arcade-museum.com/Videogame/crime-patrol","KLOV")</x:f>
        <x:v>KLOV</x:v>
      </x:c>
      <x:c r="BI430" s="12" t="str">
        <x:v>No</x:v>
      </x:c>
      <x:c r="BJ430" s="12" t="str"/>
      <x:c r="BK430" s="12" t="str">
        <x:v>No</x:v>
      </x:c>
      <x:c r="BL430" s="12" t="str"/>
      <x:c r="BM430" s="12" t="str"/>
      <x:c r="BN430" s="12" t="str"/>
      <x:c r="BO430" s="12" t="str"/>
      <x:c r="BP430" s="12" t="str"/>
      <x:c r="BQ430" s="12" t="str"/>
    </x:row>
    <x:row r="431">
      <x:c r="A431" s="9" t="str">
        <x:v>laserdisc-35</x:v>
      </x:c>
      <x:c r="B431" s="9" t="str">
        <x:v>crime-patrol-2-drug-wars</x:v>
      </x:c>
      <x:c r="C431" s="9" t="str">
        <x:v>Laserdisc arcade</x:v>
      </x:c>
      <x:c r="D431" s="9" t="str">
        <x:v>Crime Patrol 2: Drug Wars</x:v>
      </x:c>
      <x:c r="E431" s="9" t="str">
        <x:v>Drug Wars</x:v>
      </x:c>
      <x:c r="F431" s="9" t="str">
        <x:v>American Laser Games</x:v>
      </x:c>
      <x:c r="G431" s="9" t="str">
        <x:v>American Laser Games (NA)</x:v>
      </x:c>
      <x:c r="H431" s="9" t="n">
        <x:v>1993</x:v>
      </x:c>
      <x:c r="I431" s="9" t="str">
        <x:v>Yes</x:v>
      </x:c>
      <x:c r="J431" s="9" t="str">
        <x:v>No</x:v>
      </x:c>
      <x:c r="K431" s="9" t="str">
        <x:v>No</x:v>
      </x:c>
      <x:c r="L431" s="9" t="str">
        <x:v>No</x:v>
      </x:c>
      <x:c r="M431" s="9" t="str">
        <x:v>Police light-gun shooter</x:v>
      </x:c>
      <x:c r="N431" s="9" t="str">
        <x:v>Live-action</x:v>
      </x:c>
      <x:c r="O431" s="9" t="n">
        <x:v>10</x:v>
      </x:c>
      <x:c r="P431" s="9" t="str">
        <x:v>American Laser Games</x:v>
      </x:c>
      <x:c r="Q431" s="9" t="str">
        <x:v>Released</x:v>
      </x:c>
      <x:c r="R431" s="9" t="str">
        <x:v>Original live-action DEA drama; locations include Sierra County, New Mexico</x:v>
      </x:c>
      <x:c r="S431" s="9" t="str">
        <x:v>3DO (as Crime Patrol 2: Drug Wars), CD-i (as Drug Wars), MS-DOS, DVD TV game (Digital Leisure, 2002)</x:v>
      </x:c>
      <x:c r="T431" s="9" t="str">
        <x:v>Uncredited — verify</x:v>
      </x:c>
      <x:c r="U431" s="9" t="n">
        <x:v>1</x:v>
      </x:c>
      <x:c r="V431" s="9" t="str">
        <x:v>No</x:v>
      </x:c>
      <x:c r="W431" s="9" t="str">
        <x:v>Upright cabinet with light gun(s) (25", 33" or 50" monitor options on later titles); Amiga 500-based board + Roctec genlock; Sony LDP-1450 (Lasermax) laserdisc player</x:v>
      </x:c>
      <x:c r="X431" s="9" t="str">
        <x:v>Low</x:v>
      </x:c>
      <x:c r="Y431" s="9" t="str"/>
      <x:c r="Z431" s="9" t="str">
        <x:v>20–30 min</x:v>
      </x:c>
      <x:c r="AA431" s="9" t="str">
        <x:v>ALG's war on drugs: chase a South American drug baron from Chicago to the border with partners who shout at every miss.</x:v>
      </x:c>
      <x:c r="AB431" s="9" t="str">
        <x:v>Operator DIP/service settings for difficulty and lives (verify); no codes known</x:v>
      </x:c>
      <x:c r="AC431" s="9" t="str">
        <x:v>Full-screen live-action video from laserdisc with Amiga genlock overlay (score, bullets, lives, hit flashes)</x:v>
      </x:c>
      <x:c r="AD431" s="9" t="str">
        <x:v>Moderate; three lives, limited but reloadable ammo</x:v>
      </x:c>
      <x:c r="AE431" s="9" t="str">
        <x:v>One ending at the drug baron's compound</x:v>
      </x:c>
      <x:c r="AF431" s="9" t="str">
        <x:v>ALG's seventh live-action shooter. Arcade cabinets came in 25-, 33- and 50-inch monitor sizes.</x:v>
      </x:c>
      <x:c r="AG431" s="9" t="str">
        <x:v>Rev. B two-gun hardware; three monitor sizes</x:v>
      </x:c>
      <x:c r="AH431" s="9" t="str">
        <x:v>No verified current digital sale; original discs and legacy Digital Leisure editions (platforms vary).</x:v>
      </x:c>
      <x:c r="AI431" s="9" t="str">
        <x:v>Arcade</x:v>
      </x:c>
      <x:c r="AJ431" s="9" t="str">
        <x:v>No public venue found with a dated source; cabinets are mostly with collectors. At home: Digital Leisure PC CD-ROM, DVD; ScummVM supports the DOS version in testing since Mar 2026; MAME has an ALG Amiga laserdisc driver that needs the disc as a CHD; working status (verify). Hypseus Singe community 'Singe' versions exist for the ALG library (verify). PC/DVD routes require original discs; current digital sale unverified.</x:v>
      </x:c>
      <x:c r="AK431" s="9" t="str">
        <x:v>Play Meter ranked it 5th most popular arcade game. No Sega CD port.</x:v>
      </x:c>
      <x:c r="AL431" s="10"/>
      <x:c r="AM431" s="10"/>
      <x:c r="AN431" s="10"/>
      <x:c r="AO431" s="9"/>
      <x:c r="AP431" s="9"/>
      <x:c r="AQ431" s="9"/>
      <x:c r="AR431" s="9"/>
      <x:c r="AS431" s="9"/>
      <x:c r="AT431" s="9"/>
      <x:c r="AU431" s="9"/>
      <x:c r="AV431" s="9"/>
      <x:c r="AW431" s="9"/>
      <x:c r="AX431" s="9"/>
      <x:c r="AY431" s="9"/>
      <x:c r="AZ431" s="9"/>
      <x:c r="BA431" s="11" t="str">
        <x:f>HYPERLINK("https://www.mobygames.com/search/?q=Crime+Patrol+2%3A+Drug+Wars","MobyGames")</x:f>
        <x:v>MobyGames</x:v>
      </x:c>
      <x:c r="BB431" s="9"/>
      <x:c r="BC431" s="9"/>
      <x:c r="BD431" s="9"/>
      <x:c r="BE431" s="11" t="str">
        <x:f>HYPERLINK("https://en.wikipedia.org/wiki/Crime_Patrol_2:_Drug_Wars","Wikipedia")</x:f>
        <x:v>Wikipedia</x:v>
      </x:c>
      <x:c r="BF431" s="11" t="str">
        <x:f>HYPERLINK("https://backloggd.com/search/games/Crime%20Patrol%202%3A%20Drug%20Wars/","Backloggd")</x:f>
        <x:v>Backloggd</x:v>
      </x:c>
      <x:c r="BG431" s="9"/>
      <x:c r="BH431" s="11" t="str">
        <x:f>HYPERLINK("https://www.arcade-museum.com/Videogame/crime-patrol-2-drug-wars","KLOV")</x:f>
        <x:v>KLOV</x:v>
      </x:c>
      <x:c r="BI431" s="12" t="str">
        <x:v>No</x:v>
      </x:c>
      <x:c r="BJ431" s="12" t="str"/>
      <x:c r="BK431" s="12" t="str">
        <x:v>No</x:v>
      </x:c>
      <x:c r="BL431" s="12" t="str"/>
      <x:c r="BM431" s="12" t="str"/>
      <x:c r="BN431" s="12" t="str"/>
      <x:c r="BO431" s="12" t="str"/>
      <x:c r="BP431" s="12" t="str"/>
      <x:c r="BQ431" s="12" t="str"/>
    </x:row>
    <x:row r="432">
      <x:c r="A432" s="9" t="str">
        <x:v>laserdisc-36</x:v>
      </x:c>
      <x:c r="B432" s="9" t="str">
        <x:v>the-last-bounty-hunter</x:v>
      </x:c>
      <x:c r="C432" s="9" t="str">
        <x:v>Laserdisc arcade</x:v>
      </x:c>
      <x:c r="D432" s="9" t="str">
        <x:v>The Last Bounty Hunter</x:v>
      </x:c>
      <x:c r="E432" s="9" t="str"/>
      <x:c r="F432" s="9" t="str">
        <x:v>American Laser Games</x:v>
      </x:c>
      <x:c r="G432" s="9" t="str">
        <x:v>American Laser Games (NA)</x:v>
      </x:c>
      <x:c r="H432" s="9" t="n">
        <x:v>1994</x:v>
      </x:c>
      <x:c r="I432" s="9" t="str">
        <x:v>Yes</x:v>
      </x:c>
      <x:c r="J432" s="9" t="str">
        <x:v>No</x:v>
      </x:c>
      <x:c r="K432" s="9" t="str">
        <x:v>No</x:v>
      </x:c>
      <x:c r="L432" s="9" t="str">
        <x:v>No</x:v>
      </x:c>
      <x:c r="M432" s="9" t="str">
        <x:v>Western light-gun shooter</x:v>
      </x:c>
      <x:c r="N432" s="9" t="str">
        <x:v>Live-action</x:v>
      </x:c>
      <x:c r="O432" s="9" t="n">
        <x:v>10</x:v>
      </x:c>
      <x:c r="P432" s="9" t="str">
        <x:v>American Laser Games</x:v>
      </x:c>
      <x:c r="Q432" s="9" t="str">
        <x:v>Released</x:v>
      </x:c>
      <x:c r="R432" s="9" t="str">
        <x:v>Original live-action comedic western shot at Old Tucson Studios, Arizona</x:v>
      </x:c>
      <x:c r="S432" s="9" t="str">
        <x:v>MS-DOS (1994), 3DO (1995), CD-i (1996, Europe), DVD TV game (2003), Wii (Mad Dog McCree Gunslinger Pack, 2009); arcade re-release in Global VR's Six Gun Select</x:v>
      </x:c>
      <x:c r="T432" s="9" t="str">
        <x:v>Wes Flowers (fast-draw champion, as a gunfighter); others uncredited</x:v>
      </x:c>
      <x:c r="U432" s="9" t="n">
        <x:v>1</x:v>
      </x:c>
      <x:c r="V432" s="9" t="str">
        <x:v>No</x:v>
      </x:c>
      <x:c r="W432" s="9" t="str">
        <x:v>Upright cabinet with light gun(s) (25", 33" or 50" monitor options on later titles); Amiga 500-based board + Roctec genlock; Sony LDP-1450 (Lasermax) laserdisc player</x:v>
      </x:c>
      <x:c r="X432" s="9" t="str">
        <x:v>Low</x:v>
      </x:c>
      <x:c r="Y432" s="9" t="str"/>
      <x:c r="Z432" s="9" t="str">
        <x:v>20–30 min</x:v>
      </x:c>
      <x:c r="AA432" s="9" t="str">
        <x:v>ALG's goofiest western: capture four outlaws alive for a bonus by shooting the guns out of their hands.</x:v>
      </x:c>
      <x:c r="AB432" s="9" t="str">
        <x:v>Operator DIP/service settings for difficulty and lives (verify); no codes known</x:v>
      </x:c>
      <x:c r="AC432" s="9" t="str">
        <x:v>Full-screen live-action video from laserdisc with Amiga genlock overlay (score, bullets, lives, hit flashes)</x:v>
      </x:c>
      <x:c r="AD432" s="9" t="str">
        <x:v>Moderate; random showdowns are more frequent than in Mad Dog</x:v>
      </x:c>
      <x:c r="AE432" s="9" t="str">
        <x:v>Bosses can be killed or captured alive (higher bonus); one ending</x:v>
      </x:c>
      <x:c r="AF432" s="9" t="str">
        <x:v>Filmed at Old Tucson Studios. RePlay ranked it the 8th most popular deluxe arcade game.</x:v>
      </x:c>
      <x:c r="AG432" s="9" t="str">
        <x:v>Rev. B two-gun hardware; later Global VR 'Six Gun Select' cabinet with Fast Draw Showdown</x:v>
      </x:c>
      <x:c r="AH432" s="9" t="str">
        <x:v>No verified current digital sale; original discs and legacy Digital Leisure editions (platforms vary).</x:v>
      </x:c>
      <x:c r="AI432" s="9" t="str">
        <x:v>Arcade</x:v>
      </x:c>
      <x:c r="AJ432" s="9" t="str">
        <x:v>No public venue found with a dated source; cabinets are mostly with collectors. At home: Digital Leisure DVD, Wii, PC CD-ROM; ScummVM supports the DOS version in testing since Mar 2026; MAME has an ALG Amiga laserdisc driver that needs the disc as a CHD; working status (verify). Hypseus Singe community 'Singe' versions exist for the ALG library (verify). PC/DVD routes require original discs; current digital sale unverified.</x:v>
      </x:c>
      <x:c r="AK432" s="9" t="str">
        <x:v>Entertainment Weekly gave it a C− and flagged the gravedigger character as offensive.</x:v>
      </x:c>
      <x:c r="AL432" s="10"/>
      <x:c r="AM432" s="10"/>
      <x:c r="AN432" s="10"/>
      <x:c r="AO432" s="9"/>
      <x:c r="AP432" s="9"/>
      <x:c r="AQ432" s="9"/>
      <x:c r="AR432" s="9"/>
      <x:c r="AS432" s="9"/>
      <x:c r="AT432" s="9"/>
      <x:c r="AU432" s="9"/>
      <x:c r="AV432" s="9"/>
      <x:c r="AW432" s="9"/>
      <x:c r="AX432" s="9"/>
      <x:c r="AY432" s="9"/>
      <x:c r="AZ432" s="9"/>
      <x:c r="BA432" s="11" t="str">
        <x:f>HYPERLINK("https://www.mobygames.com/search/?q=The+Last+Bounty+Hunter","MobyGames")</x:f>
        <x:v>MobyGames</x:v>
      </x:c>
      <x:c r="BB432" s="9"/>
      <x:c r="BC432" s="9"/>
      <x:c r="BD432" s="9"/>
      <x:c r="BE432" s="11" t="str">
        <x:f>HYPERLINK("https://en.wikipedia.org/wiki/The_Last_Bounty_Hunter","Wikipedia")</x:f>
        <x:v>Wikipedia</x:v>
      </x:c>
      <x:c r="BF432" s="11" t="str">
        <x:f>HYPERLINK("https://backloggd.com/search/games/The%20Last%20Bounty%20Hunter/","Backloggd")</x:f>
        <x:v>Backloggd</x:v>
      </x:c>
      <x:c r="BG432" s="9"/>
      <x:c r="BH432" s="11" t="str">
        <x:f>HYPERLINK("https://www.arcade-museum.com/Videogame/last-bounty-hunter-the--american","KLOV")</x:f>
        <x:v>KLOV</x:v>
      </x:c>
      <x:c r="BI432" s="12" t="str">
        <x:v>No</x:v>
      </x:c>
      <x:c r="BJ432" s="12" t="str"/>
      <x:c r="BK432" s="12" t="str">
        <x:v>No</x:v>
      </x:c>
      <x:c r="BL432" s="12" t="str"/>
      <x:c r="BM432" s="12" t="str"/>
      <x:c r="BN432" s="12" t="str"/>
      <x:c r="BO432" s="12" t="str"/>
      <x:c r="BP432" s="12" t="str"/>
      <x:c r="BQ432" s="12" t="str"/>
    </x:row>
    <x:row r="433">
      <x:c r="A433" s="9" t="str">
        <x:v>laserdisc-37</x:v>
      </x:c>
      <x:c r="B433" s="9" t="str">
        <x:v>fast-draw-showdown</x:v>
      </x:c>
      <x:c r="C433" s="9" t="str">
        <x:v>Laserdisc arcade</x:v>
      </x:c>
      <x:c r="D433" s="9" t="str">
        <x:v>Fast Draw Showdown</x:v>
      </x:c>
      <x:c r="E433" s="9" t="str"/>
      <x:c r="F433" s="9" t="str">
        <x:v>American Laser Games</x:v>
      </x:c>
      <x:c r="G433" s="9" t="str">
        <x:v>American Laser Games (NA)</x:v>
      </x:c>
      <x:c r="H433" s="9" t="n">
        <x:v>1994</x:v>
      </x:c>
      <x:c r="I433" s="9" t="str">
        <x:v>Yes</x:v>
      </x:c>
      <x:c r="J433" s="9" t="str">
        <x:v>No</x:v>
      </x:c>
      <x:c r="K433" s="9" t="str">
        <x:v>No</x:v>
      </x:c>
      <x:c r="L433" s="9" t="str">
        <x:v>No</x:v>
      </x:c>
      <x:c r="M433" s="9" t="str">
        <x:v>Quick-draw duel shooter</x:v>
      </x:c>
      <x:c r="N433" s="9" t="str">
        <x:v>Live-action</x:v>
      </x:c>
      <x:c r="O433" s="9" t="n">
        <x:v>10</x:v>
      </x:c>
      <x:c r="P433" s="9" t="str">
        <x:v>American Laser Games</x:v>
      </x:c>
      <x:c r="Q433" s="9" t="str">
        <x:v>Released</x:v>
      </x:c>
      <x:c r="R433" s="9" t="str">
        <x:v>Original live-action duel footage featuring real fast-draw champion Wes Flowers</x:v>
      </x:c>
      <x:c r="S433" s="9" t="str">
        <x:v>Windows (Digital Leisure, 2004), WiiWare (2010), PS3/PSN HD with Move (2011); arcade re-release by Global VR (2002) and in Six Gun Select</x:v>
      </x:c>
      <x:c r="T433" s="9" t="str">
        <x:v>Wes Flowers (final opponent, real fast-draw champion)</x:v>
      </x:c>
      <x:c r="U433" s="9" t="n">
        <x:v>1</x:v>
      </x:c>
      <x:c r="V433" s="9" t="str">
        <x:v>No</x:v>
      </x:c>
      <x:c r="W433" s="9" t="str">
        <x:v>Upright cabinet, vertical monitor, single optical gun with holster; laserdisc player model unknown (KLOV 'LDP - unknown')</x:v>
      </x:c>
      <x:c r="X433" s="9" t="str">
        <x:v>Low</x:v>
      </x:c>
      <x:c r="Y433" s="9" t="str"/>
      <x:c r="Z433" s="9" t="str">
        <x:v>5–10 min</x:v>
      </x:c>
      <x:c r="AA433" s="9" t="str">
        <x:v>Pure quick-draw duels on a vertical screen, ending against a real fast-draw champion.</x:v>
      </x:c>
      <x:c r="AB433" s="9" t="str">
        <x:v>Operator DIP/service settings for difficulty and lives (verify); no codes known</x:v>
      </x:c>
      <x:c r="AC433" s="9" t="str">
        <x:v>Full-screen live-action duel footage from laserdisc with graphic overlay</x:v>
      </x:c>
      <x:c r="AD433" s="9" t="str">
        <x:v>Deputy, Sheriff or Marshal levels; reaction-time based</x:v>
      </x:c>
      <x:c r="AE433" s="9" t="str">
        <x:v>Win four gunfights to unlock a bonus draw against Wes Flowers</x:v>
      </x:c>
      <x:c r="AF433" s="9" t="str">
        <x:v>Play Meter ranked it 26th most popular arcade game of October 1994. The 3DO port was announced but never released.</x:v>
      </x:c>
      <x:c r="AG433" s="9" t="str">
        <x:v>1994 ALG original; 2002 Global VR re-release; Six Gun Select dual-game cabinet</x:v>
      </x:c>
      <x:c r="AH433" s="9" t="str">
        <x:v>Yes (Digital Leisure PC, WiiWare, PS3/PSN; MAME has an ALG Amiga laserdisc driver that needs the disc as a CHD; working status (verify). Hypseus Singe community 'Singe' versions exist for the ALG library (verify))</x:v>
      </x:c>
      <x:c r="AI433" s="9" t="str">
        <x:v>Arcade</x:v>
      </x:c>
      <x:c r="AJ433" s="9" t="str">
        <x:v>No public venue found with a dated source; cabinets are mostly with collectors. At home: Digital Leisure PC, WiiWare, PS3/PSN; MAME has an ALG Amiga laserdisc driver that needs the disc as a CHD; working status (verify). Hypseus Singe community 'Singe' versions exist for the ALG library (verify.</x:v>
      </x:c>
      <x:c r="AK433" s="9" t="str">
        <x:v>Wikipedia calls it a laserdisc game; it is not on amiga.resource.cx's Rev. B title list, so the exact board is unconfirmed (verify). Single player only.</x:v>
      </x:c>
      <x:c r="AL433" s="10"/>
      <x:c r="AM433" s="10"/>
      <x:c r="AN433" s="10"/>
      <x:c r="AO433" s="9"/>
      <x:c r="AP433" s="9"/>
      <x:c r="AQ433" s="9"/>
      <x:c r="AR433" s="9"/>
      <x:c r="AS433" s="9"/>
      <x:c r="AT433" s="9"/>
      <x:c r="AU433" s="9"/>
      <x:c r="AV433" s="9"/>
      <x:c r="AW433" s="9"/>
      <x:c r="AX433" s="9"/>
      <x:c r="AY433" s="9"/>
      <x:c r="AZ433" s="9"/>
      <x:c r="BA433" s="11" t="str">
        <x:f>HYPERLINK("https://www.mobygames.com/search/?q=Fast+Draw+Showdown","MobyGames")</x:f>
        <x:v>MobyGames</x:v>
      </x:c>
      <x:c r="BB433" s="9"/>
      <x:c r="BC433" s="9"/>
      <x:c r="BD433" s="9"/>
      <x:c r="BE433" s="11" t="str">
        <x:f>HYPERLINK("https://en.wikipedia.org/wiki/Fast_Draw_Showdown","Wikipedia")</x:f>
        <x:v>Wikipedia</x:v>
      </x:c>
      <x:c r="BF433" s="11" t="str">
        <x:f>HYPERLINK("https://backloggd.com/search/games/Fast%20Draw%20Showdown/","Backloggd")</x:f>
        <x:v>Backloggd</x:v>
      </x:c>
      <x:c r="BG433" s="9"/>
      <x:c r="BH433" s="11" t="str">
        <x:f>HYPERLINK("https://arcade-museum.com/Videogame/fastdraw-showdown","KLOV")</x:f>
        <x:v>KLOV</x:v>
      </x:c>
      <x:c r="BI433" s="12" t="str">
        <x:v>No</x:v>
      </x:c>
      <x:c r="BJ433" s="12" t="str"/>
      <x:c r="BK433" s="12" t="str">
        <x:v>No</x:v>
      </x:c>
      <x:c r="BL433" s="12" t="str"/>
      <x:c r="BM433" s="12" t="str"/>
      <x:c r="BN433" s="12" t="str"/>
      <x:c r="BO433" s="12" t="str"/>
      <x:c r="BP433" s="12" t="str"/>
      <x:c r="BQ433" s="12" t="str"/>
    </x:row>
    <x:row r="434">
      <x:c r="A434" s="9" t="str">
        <x:v>laserdisc-38</x:v>
      </x:c>
      <x:c r="B434" s="9" t="str">
        <x:v>cops</x:v>
      </x:c>
      <x:c r="C434" s="9" t="str">
        <x:v>Laserdisc arcade</x:v>
      </x:c>
      <x:c r="D434" s="9" t="str">
        <x:v>Cops</x:v>
      </x:c>
      <x:c r="E434" s="9" t="str">
        <x:v>Cops (UK, Nova Productions / Deith Leisure)</x:v>
      </x:c>
      <x:c r="F434" s="9" t="str">
        <x:v>Nova Productions</x:v>
      </x:c>
      <x:c r="G434" s="9" t="str">
        <x:v>Atari Games (NA), Deith Leisure (UK)</x:v>
      </x:c>
      <x:c r="H434" s="9" t="n">
        <x:v>1994</x:v>
      </x:c>
      <x:c r="I434" s="9" t="str">
        <x:v>Yes</x:v>
      </x:c>
      <x:c r="J434" s="9" t="str">
        <x:v>No</x:v>
      </x:c>
      <x:c r="K434" s="9" t="str">
        <x:v>Yes</x:v>
      </x:c>
      <x:c r="L434" s="9" t="str">
        <x:v>No</x:v>
      </x:c>
      <x:c r="M434" s="9" t="str">
        <x:v>Light-gun / driving police sim</x:v>
      </x:c>
      <x:c r="N434" s="9" t="str">
        <x:v>Live-action</x:v>
      </x:c>
      <x:c r="O434" s="9" t="n">
        <x:v>10</x:v>
      </x:c>
      <x:c r="P434" s="9" t="str">
        <x:v>Laserdisc arcade</x:v>
      </x:c>
      <x:c r="Q434" s="9" t="str">
        <x:v>NOT obtainable</x:v>
      </x:c>
      <x:c r="R434" s="9" t="str">
        <x:v>Licensed from the TV series COPS; original live-action footage filmed in Los Angeles</x:v>
      </x:c>
      <x:c r="S434" s="9" t="str">
        <x:v>None</x:v>
      </x:c>
      <x:c r="T434" s="9" t="str">
        <x:v>Unknown — verify</x:v>
      </x:c>
      <x:c r="U434" s="9" t="n">
        <x:v>1</x:v>
      </x:c>
      <x:c r="V434" s="9" t="str">
        <x:v>No</x:v>
      </x:c>
      <x:c r="W434" s="9" t="str">
        <x:v>Cockpit cabinet with optical gun and steering wheel; Sony LDP-1450 laserdisc player; Atari control PCB; Sony CD-ROM drive for music</x:v>
      </x:c>
      <x:c r="X434" s="9" t="str">
        <x:v>HIGH</x:v>
      </x:c>
      <x:c r="Y434" s="9" t="str">
        <x:v>Inner Circle's 'Bad Boys' (COPS theme) played from the CD-ROM; COPS TV branding</x:v>
      </x:c>
      <x:c r="Z434" s="9" t="str">
        <x:v>Unknown — verify</x:v>
      </x:c>
      <x:c r="AA434" s="9" t="str">
        <x:v>The COPS theme blares as you shoot perps and chase them in a patrol car, in a cockpit cabinet nobody has dumped.</x:v>
      </x:c>
      <x:c r="AB434" s="9" t="str">
        <x:v>None known</x:v>
      </x:c>
      <x:c r="AC434" s="9" t="str">
        <x:v>Full-screen live-action laserdisc footage with graphic overlay</x:v>
      </x:c>
      <x:c r="AD434" s="9" t="str">
        <x:v>Unknown — verify</x:v>
      </x:c>
      <x:c r="AE434" s="9" t="str">
        <x:v>Unknown — verify</x:v>
      </x:c>
      <x:c r="AF434" s="9" t="str">
        <x:v>The cabinet uses a CD-ROM only to play 'Bad Boys' while the laserdisc audio is muted. RePlay ranked it the 3rd most popular deluxe arcade game.</x:v>
      </x:c>
      <x:c r="AG434" s="9" t="str">
        <x:v>US (Atari) and UK (Nova/Deith Leisure) sets; Sega was set to distribute in Europe and Asia per Play Meter</x:v>
      </x:c>
      <x:c r="AH434" s="9" t="str">
        <x:v>No (MAME cops.cpp is preliminary, not working, and the laserdisc and CD are undumped)</x:v>
      </x:c>
      <x:c r="AI434" s="9" t="str">
        <x:v>Lost</x:v>
      </x:c>
      <x:c r="AJ434" s="9" t="str">
        <x:v>At home: MAME cops.cpp is preliminary, not working, and the laserdisc and CD are undumped.</x:v>
      </x:c>
      <x:c r="AK434" s="9" t="str">
        <x:v>Released Oct 1994 NA. Next Generation 3/5. Not an ALG game despite the theme.</x:v>
      </x:c>
      <x:c r="AL434" s="10"/>
      <x:c r="AM434" s="10"/>
      <x:c r="AN434" s="10"/>
      <x:c r="AO434" s="9"/>
      <x:c r="AP434" s="9"/>
      <x:c r="AQ434" s="9"/>
      <x:c r="AR434" s="9"/>
      <x:c r="AS434" s="9"/>
      <x:c r="AT434" s="9"/>
      <x:c r="AU434" s="9"/>
      <x:c r="AV434" s="9"/>
      <x:c r="AW434" s="9"/>
      <x:c r="AX434" s="9"/>
      <x:c r="AY434" s="9"/>
      <x:c r="AZ434" s="9"/>
      <x:c r="BA434" s="11" t="str">
        <x:f>HYPERLINK("https://www.mobygames.com/search/?q=Cops","MobyGames")</x:f>
        <x:v>MobyGames</x:v>
      </x:c>
      <x:c r="BB434" s="9"/>
      <x:c r="BC434" s="9"/>
      <x:c r="BD434" s="9"/>
      <x:c r="BE434" s="11" t="str">
        <x:f>HYPERLINK("https://en.wikipedia.org/wiki/Cops_(video_game)","Wikipedia")</x:f>
        <x:v>Wikipedia</x:v>
      </x:c>
      <x:c r="BF434" s="11" t="str">
        <x:f>HYPERLINK("https://backloggd.com/search/games/Cops/","Backloggd")</x:f>
        <x:v>Backloggd</x:v>
      </x:c>
      <x:c r="BG434" s="9"/>
      <x:c r="BH434" s="11" t="str">
        <x:f>HYPERLINK("https://arcade-museum.com/Videogame/cops","KLOV")</x:f>
        <x:v>KLOV</x:v>
      </x:c>
      <x:c r="BI434" s="12" t="str">
        <x:v>No</x:v>
      </x:c>
      <x:c r="BJ434" s="12" t="str"/>
      <x:c r="BK434" s="12" t="str">
        <x:v>No</x:v>
      </x:c>
      <x:c r="BL434" s="12" t="str"/>
      <x:c r="BM434" s="12" t="str"/>
      <x:c r="BN434" s="12" t="str"/>
      <x:c r="BO434" s="12" t="str"/>
      <x:c r="BP434" s="12" t="str"/>
      <x:c r="BQ434" s="12" t="str"/>
    </x:row>
    <x:row r="435">
      <x:c r="A435" s="9" t="str">
        <x:v>laserdisc-39</x:v>
      </x:c>
      <x:c r="B435" s="9" t="str">
        <x:v>street-viper</x:v>
      </x:c>
      <x:c r="C435" s="9" t="str">
        <x:v>Laserdisc arcade</x:v>
      </x:c>
      <x:c r="D435" s="9" t="str">
        <x:v>Street Viper</x:v>
      </x:c>
      <x:c r="E435" s="9" t="str"/>
      <x:c r="F435" s="9" t="str">
        <x:v>Nova Productions</x:v>
      </x:c>
      <x:c r="G435" s="9" t="str">
        <x:v>Nova Games (NA)</x:v>
      </x:c>
      <x:c r="H435" s="9" t="n">
        <x:v>1993</x:v>
      </x:c>
      <x:c r="I435" s="9" t="str">
        <x:v>Yes</x:v>
      </x:c>
      <x:c r="J435" s="9" t="str">
        <x:v>No</x:v>
      </x:c>
      <x:c r="K435" s="9" t="str">
        <x:v>No</x:v>
      </x:c>
      <x:c r="L435" s="9" t="str">
        <x:v>No</x:v>
      </x:c>
      <x:c r="M435" s="9" t="str">
        <x:v>Driving</x:v>
      </x:c>
      <x:c r="N435" s="9" t="str">
        <x:v>Live-action</x:v>
      </x:c>
      <x:c r="O435" s="9" t="n">
        <x:v>9</x:v>
      </x:c>
      <x:c r="P435" s="9" t="str">
        <x:v>Laserdisc arcade</x:v>
      </x:c>
      <x:c r="Q435" s="9" t="str">
        <x:v>NOT obtainable</x:v>
      </x:c>
      <x:c r="R435" s="9" t="str">
        <x:v>Original live-action driving footage featuring a Dodge Viper</x:v>
      </x:c>
      <x:c r="S435" s="9" t="str">
        <x:v>None</x:v>
      </x:c>
      <x:c r="T435" s="9" t="str">
        <x:v>—</x:v>
      </x:c>
      <x:c r="U435" s="9" t="n">
        <x:v>1</x:v>
      </x:c>
      <x:c r="V435" s="9" t="str">
        <x:v>No</x:v>
      </x:c>
      <x:c r="W435" s="9" t="str">
        <x:v>Upright cabinet, steering wheel only (no pedals or shifter); believed to be the same Nova hardware as Cops with a Sony LDP-series player (verify)</x:v>
      </x:c>
      <x:c r="X435" s="9" t="str">
        <x:v>Low</x:v>
      </x:c>
      <x:c r="Y435" s="9" t="str">
        <x:v>Dodge Viper branding (unlikely to claim)</x:v>
      </x:c>
      <x:c r="Z435" s="9" t="str">
        <x:v>Unknown — verify</x:v>
      </x:c>
      <x:c r="AA435" s="9" t="str">
        <x:v>A steering-wheel-only laserdisc drive in a Dodge Viper, so rare almost no one has seen it.</x:v>
      </x:c>
      <x:c r="AB435" s="9" t="str">
        <x:v>None known</x:v>
      </x:c>
      <x:c r="AC435" s="9" t="str">
        <x:v>Full-screen live-action road footage with overlaid traffic/fuel graphics (verify)</x:v>
      </x:c>
      <x:c r="AD435" s="9" t="str">
        <x:v>Bad driving burns fuel; crashing or running dry ends the game</x:v>
      </x:c>
      <x:c r="AE435" s="9" t="str">
        <x:v>None; drive until fuel runs out (verify)</x:v>
      </x:c>
      <x:c r="AF435" s="9" t="str">
        <x:v>KLOV's census shows no active members owning one. MAME notes it should use Cops-like hardware if ever dumped.</x:v>
      </x:c>
      <x:c r="AG435" s="9" t="str">
        <x:v>Unknown — verify</x:v>
      </x:c>
      <x:c r="AH435" s="9" t="str">
        <x:v>No (undumped; not emulated)</x:v>
      </x:c>
      <x:c r="AI435" s="9" t="str">
        <x:v>Lost</x:v>
      </x:c>
      <x:c r="AJ435" s="9" t="str">
        <x:v>At home: Undumped; not emulated.</x:v>
      </x:c>
      <x:c r="AK435" s="9" t="str">
        <x:v>KLOV says circa 1993; unMAMEd lists 1994. Developer inferred from Nova/Cops hardware link (verify).</x:v>
      </x:c>
      <x:c r="AL435" s="10"/>
      <x:c r="AM435" s="10"/>
      <x:c r="AN435" s="10"/>
      <x:c r="AO435" s="9"/>
      <x:c r="AP435" s="9"/>
      <x:c r="AQ435" s="9"/>
      <x:c r="AR435" s="9"/>
      <x:c r="AS435" s="9"/>
      <x:c r="AT435" s="9"/>
      <x:c r="AU435" s="9"/>
      <x:c r="AV435" s="9"/>
      <x:c r="AW435" s="9"/>
      <x:c r="AX435" s="9"/>
      <x:c r="AY435" s="9"/>
      <x:c r="AZ435" s="9"/>
      <x:c r="BA435" s="11" t="str">
        <x:f>HYPERLINK("https://www.mobygames.com/search/?q=Street+Viper","MobyGames")</x:f>
        <x:v>MobyGames</x:v>
      </x:c>
      <x:c r="BB435" s="9"/>
      <x:c r="BC435" s="9"/>
      <x:c r="BD435" s="9"/>
      <x:c r="BE435" s="9"/>
      <x:c r="BF435" s="11" t="str">
        <x:f>HYPERLINK("https://backloggd.com/search/games/Street%20Viper/","Backloggd")</x:f>
        <x:v>Backloggd</x:v>
      </x:c>
      <x:c r="BG435" s="9"/>
      <x:c r="BH435" s="11" t="str">
        <x:f>HYPERLINK("https://arcade-museum.com/Videogame/street-viper","KLOV")</x:f>
        <x:v>KLOV</x:v>
      </x:c>
      <x:c r="BI435" s="12" t="str">
        <x:v>No</x:v>
      </x:c>
      <x:c r="BJ435" s="12" t="str"/>
      <x:c r="BK435" s="12" t="str">
        <x:v>No</x:v>
      </x:c>
      <x:c r="BL435" s="12" t="str"/>
      <x:c r="BM435" s="12" t="str"/>
      <x:c r="BN435" s="12" t="str"/>
      <x:c r="BO435" s="12" t="str"/>
      <x:c r="BP435" s="12" t="str"/>
      <x:c r="BQ435" s="12" t="str"/>
    </x:row>
    <x:row r="436">
      <x:c r="A436" s="9" t="str">
        <x:v>laserdisc-40</x:v>
      </x:c>
      <x:c r="B436" s="9" t="str">
        <x:v>galaxian-3</x:v>
      </x:c>
      <x:c r="C436" s="9" t="str">
        <x:v>Laserdisc arcade</x:v>
      </x:c>
      <x:c r="D436" s="9" t="str">
        <x:v>Galaxian 3: Project Dragoon</x:v>
      </x:c>
      <x:c r="E436" s="9" t="str">
        <x:v>Galaxian³ Theater 6: Project Dragoon</x:v>
      </x:c>
      <x:c r="F436" s="9" t="str">
        <x:v>Namco</x:v>
      </x:c>
      <x:c r="G436" s="9" t="str">
        <x:v>Namco (JP, NA)</x:v>
      </x:c>
      <x:c r="H436" s="9" t="n">
        <x:v>1990</x:v>
      </x:c>
      <x:c r="I436" s="9" t="str">
        <x:v>Yes</x:v>
      </x:c>
      <x:c r="J436" s="9" t="str">
        <x:v>Yes</x:v>
      </x:c>
      <x:c r="K436" s="9" t="str">
        <x:v>No</x:v>
      </x:c>
      <x:c r="L436" s="9" t="str">
        <x:v>No</x:v>
      </x:c>
      <x:c r="M436" s="9" t="str">
        <x:v>Multi-player rail shooter</x:v>
      </x:c>
      <x:c r="N436" s="9" t="str">
        <x:v>Pre-rendered CG</x:v>
      </x:c>
      <x:c r="O436" s="9" t="n">
        <x:v>9</x:v>
      </x:c>
      <x:c r="P436" s="9" t="str">
        <x:v>Laserdisc arcade</x:v>
      </x:c>
      <x:c r="Q436" s="9" t="str">
        <x:v>Released</x:v>
      </x:c>
      <x:c r="R436" s="9" t="str">
        <x:v>Original Namco production with pre-rendered CG space footage</x:v>
      </x:c>
      <x:c r="S436" s="9" t="str">
        <x:v>PlayStation (as Galaxian³, JP 1995/96, EU 1996, adds The Rising of Gourb)</x:v>
      </x:c>
      <x:c r="T436" s="9" t="str">
        <x:v>—</x:v>
      </x:c>
      <x:c r="U436" s="9" t="n">
        <x:v>2</x:v>
      </x:c>
      <x:c r="V436" s="9" t="str">
        <x:v>No</x:v>
      </x:c>
      <x:c r="W436" s="9" t="str">
        <x:v>Multi-seat theater: 1990 theme-park attraction with 28 seats, 16 projectors and a 360° screen; Theater 6 arcade version with six mounted guns; Namco System 21 boards synced to laserdisc players (Pioneer LD-V8000)</x:v>
      </x:c>
      <x:c r="X436" s="9" t="str">
        <x:v>Low</x:v>
      </x:c>
      <x:c r="Y436" s="9" t="str"/>
      <x:c r="Z436" s="9" t="str">
        <x:v>About 10 min</x:v>
      </x:c>
      <x:c r="AA436" s="9" t="str">
        <x:v>Namco's 28-seat laserdisc theater ride, later shrunk to a six-gun cabinet: the biggest FMV arcade machine ever built.</x:v>
      </x:c>
      <x:c r="AB436" s="9" t="str">
        <x:v>None known</x:v>
      </x:c>
      <x:c r="AC436" s="9" t="str">
        <x:v>Full-screen pre-rendered CG backgrounds from synchronized laserdiscs with real-time System 21 polygon enemies overlaid</x:v>
      </x:c>
      <x:c r="AD436" s="9" t="str">
        <x:v>Easy; team score attack</x:v>
      </x:c>
      <x:c r="AE436" s="9" t="str">
        <x:v>One ending; team score ranking</x:v>
      </x:c>
      <x:c r="AF436" s="9" t="str">
        <x:v>Debuted April 1990 at Namco's Wonder Eggs park (and an Expo '90 attraction), with up to 16 boards and laserdisc players running in sync.</x:v>
      </x:c>
      <x:c r="AG436" s="9" t="str">
        <x:v>28-seat attraction (1990), 16-player version, Theater 6 arcade (1992); converted to Attack of the Zolgear by kit</x:v>
      </x:c>
      <x:c r="AH436" s="9" t="str">
        <x:v>Yes (PlayStation port, JP/EU only; the arcade is not emulated, MAME's gal3 driver is not working and the laserdiscs are undumped — verify)</x:v>
      </x:c>
      <x:c r="AI436" s="9" t="str">
        <x:v>Arcade</x:v>
      </x:c>
      <x:c r="AJ436" s="9" t="str">
        <x:v>No public venue found with a dated source; cabinets are mostly with collectors. At home: PlayStation port, JP/EU only; the arcade is not emulated, MAME's gal3 driver is not working and the laserdiscs are undumped — verify.</x:v>
      </x:c>
      <x:c r="AK436" s="9" t="str">
        <x:v>Arcade Theater 6 dated 1992; attraction 1990. Disc count for Theater 6 assumed 2 (two boards/players) — verify. Composers Shinji Hosoe, Ayako Saso.</x:v>
      </x:c>
      <x:c r="AL436" s="10"/>
      <x:c r="AM436" s="10"/>
      <x:c r="AN436" s="10"/>
      <x:c r="AO436" s="9"/>
      <x:c r="AP436" s="9"/>
      <x:c r="AQ436" s="9"/>
      <x:c r="AR436" s="9"/>
      <x:c r="AS436" s="9"/>
      <x:c r="AT436" s="9"/>
      <x:c r="AU436" s="9"/>
      <x:c r="AV436" s="9"/>
      <x:c r="AW436" s="9"/>
      <x:c r="AX436" s="9"/>
      <x:c r="AY436" s="9"/>
      <x:c r="AZ436" s="9"/>
      <x:c r="BA436" s="11" t="str">
        <x:f>HYPERLINK("https://www.mobygames.com/search/?q=Galaxian+3%3A+Project+Dragoon","MobyGames")</x:f>
        <x:v>MobyGames</x:v>
      </x:c>
      <x:c r="BB436" s="9"/>
      <x:c r="BC436" s="9"/>
      <x:c r="BD436" s="9"/>
      <x:c r="BE436" s="11" t="str">
        <x:f>HYPERLINK("https://en.wikipedia.org/wiki/Galaxian3","Wikipedia")</x:f>
        <x:v>Wikipedia</x:v>
      </x:c>
      <x:c r="BF436" s="11" t="str">
        <x:f>HYPERLINK("https://backloggd.com/search/games/Galaxian%203%3A%20Project%20Dragoon/","Backloggd")</x:f>
        <x:v>Backloggd</x:v>
      </x:c>
      <x:c r="BG436" s="9"/>
      <x:c r="BH436" s="9"/>
      <x:c r="BI436" s="12" t="str">
        <x:v>No</x:v>
      </x:c>
      <x:c r="BJ436" s="12" t="str"/>
      <x:c r="BK436" s="12" t="str">
        <x:v>No</x:v>
      </x:c>
      <x:c r="BL436" s="12" t="str"/>
      <x:c r="BM436" s="12" t="str"/>
      <x:c r="BN436" s="12" t="str"/>
      <x:c r="BO436" s="12" t="str"/>
      <x:c r="BP436" s="12" t="str"/>
      <x:c r="BQ436" s="12" t="str"/>
    </x:row>
    <x:row r="437">
      <x:c r="A437" s="9" t="str">
        <x:v>laserdisc-41</x:v>
      </x:c>
      <x:c r="B437" s="9" t="str">
        <x:v>attack-of-the-zolgear</x:v>
      </x:c>
      <x:c r="C437" s="9" t="str">
        <x:v>Laserdisc arcade</x:v>
      </x:c>
      <x:c r="D437" s="9" t="str">
        <x:v>Attack of the Zolgear</x:v>
      </x:c>
      <x:c r="E437" s="9" t="str">
        <x:v>Galaxian³: Attack of the Zolgear</x:v>
      </x:c>
      <x:c r="F437" s="9" t="str">
        <x:v>Namco</x:v>
      </x:c>
      <x:c r="G437" s="9" t="str">
        <x:v>Namco (JP, NA)</x:v>
      </x:c>
      <x:c r="H437" s="9" t="n">
        <x:v>1994</x:v>
      </x:c>
      <x:c r="I437" s="9" t="str">
        <x:v>Yes</x:v>
      </x:c>
      <x:c r="J437" s="9" t="str">
        <x:v>Yes</x:v>
      </x:c>
      <x:c r="K437" s="9" t="str">
        <x:v>No</x:v>
      </x:c>
      <x:c r="L437" s="9" t="str">
        <x:v>No</x:v>
      </x:c>
      <x:c r="M437" s="9" t="str">
        <x:v>Multi-player rail shooter</x:v>
      </x:c>
      <x:c r="N437" s="9" t="str">
        <x:v>Pre-rendered CG</x:v>
      </x:c>
      <x:c r="O437" s="9" t="n">
        <x:v>9</x:v>
      </x:c>
      <x:c r="P437" s="9" t="str">
        <x:v>Laserdisc arcade</x:v>
      </x:c>
      <x:c r="Q437" s="9" t="str">
        <x:v>NOT obtainable</x:v>
      </x:c>
      <x:c r="R437" s="9" t="str">
        <x:v>Original Namco production with pre-rendered CG space footage; sequel to Galaxian³</x:v>
      </x:c>
      <x:c r="S437" s="9" t="str">
        <x:v>None</x:v>
      </x:c>
      <x:c r="T437" s="9" t="str">
        <x:v>—</x:v>
      </x:c>
      <x:c r="U437" s="9" t="n">
        <x:v>2</x:v>
      </x:c>
      <x:c r="V437" s="9" t="str">
        <x:v>No</x:v>
      </x:c>
      <x:c r="W437" s="9" t="str">
        <x:v>Galaxian³ Theater 6 cabinet, up to six mounted guns; conversion kit for Project Dragoon with new ROMs and two Pioneer LD-V8000 laserdisc players</x:v>
      </x:c>
      <x:c r="X437" s="9" t="str">
        <x:v>Low</x:v>
      </x:c>
      <x:c r="Y437" s="9" t="str"/>
      <x:c r="Z437" s="9" t="str">
        <x:v>About 10 min</x:v>
      </x:c>
      <x:c r="AA437" s="9" t="str">
        <x:v>The sequel to Namco's six-player laserdisc theater, with no home port and no dump.</x:v>
      </x:c>
      <x:c r="AB437" s="9" t="str">
        <x:v>None known</x:v>
      </x:c>
      <x:c r="AC437" s="9" t="str">
        <x:v>Full-screen pre-rendered CG space backgrounds from two synced laserdiscs with polygon graphics overlaid</x:v>
      </x:c>
      <x:c r="AD437" s="9" t="str">
        <x:v>Easy; team score attack</x:v>
      </x:c>
      <x:c r="AE437" s="9" t="str">
        <x:v>One ending</x:v>
      </x:c>
      <x:c r="AF437" s="9" t="str">
        <x:v>Music by Shinji Hosoe, Ayako Saso and Nobuyoshi Sano. The Zolgear returns in Bounty Hounds on PSP.</x:v>
      </x:c>
      <x:c r="AG437" s="9" t="str">
        <x:v>Conversion kit for Galaxian³ Project Dragoon</x:v>
      </x:c>
      <x:c r="AH437" s="9" t="str">
        <x:v>No (no home port; ROMs and laserdiscs undumped)</x:v>
      </x:c>
      <x:c r="AI437" s="9" t="str">
        <x:v>Arcade</x:v>
      </x:c>
      <x:c r="AJ437" s="9" t="str">
        <x:v>Cabinets reported at Fun World, Nashua, NH (source 2025-04). Call ahead: floor lists change. At home: No home port; ROMs and laserdiscs undumped.</x:v>
      </x:c>
      <x:c r="AK437" s="9" t="str">
        <x:v>Released July 1994 Japan, later 1994 NA.</x:v>
      </x:c>
      <x:c r="AL437" s="10"/>
      <x:c r="AM437" s="10"/>
      <x:c r="AN437" s="10"/>
      <x:c r="AO437" s="9"/>
      <x:c r="AP437" s="9"/>
      <x:c r="AQ437" s="9"/>
      <x:c r="AR437" s="9"/>
      <x:c r="AS437" s="9"/>
      <x:c r="AT437" s="9"/>
      <x:c r="AU437" s="9"/>
      <x:c r="AV437" s="9"/>
      <x:c r="AW437" s="9"/>
      <x:c r="AX437" s="9"/>
      <x:c r="AY437" s="9"/>
      <x:c r="AZ437" s="9"/>
      <x:c r="BA437" s="11" t="str">
        <x:f>HYPERLINK("https://www.mobygames.com/search/?q=Attack+of+the+Zolgear","MobyGames")</x:f>
        <x:v>MobyGames</x:v>
      </x:c>
      <x:c r="BB437" s="9"/>
      <x:c r="BC437" s="9"/>
      <x:c r="BD437" s="9"/>
      <x:c r="BE437" s="11" t="str">
        <x:f>HYPERLINK("https://en.wikipedia.org/wiki/Attack_of_the_Zolgear","Wikipedia")</x:f>
        <x:v>Wikipedia</x:v>
      </x:c>
      <x:c r="BF437" s="11" t="str">
        <x:f>HYPERLINK("https://backloggd.com/search/games/Attack%20of%20the%20Zolgear/","Backloggd")</x:f>
        <x:v>Backloggd</x:v>
      </x:c>
      <x:c r="BG437" s="9"/>
      <x:c r="BH437" s="11" t="str">
        <x:f>HYPERLINK("https://arcade-museum.com/Videogame/attack-of-the-zolgear","KLOV")</x:f>
        <x:v>KLOV</x:v>
      </x:c>
      <x:c r="BI437" s="12" t="str">
        <x:v>No</x:v>
      </x:c>
      <x:c r="BJ437" s="12" t="str"/>
      <x:c r="BK437" s="12" t="str">
        <x:v>No</x:v>
      </x:c>
      <x:c r="BL437" s="12" t="str"/>
      <x:c r="BM437" s="12" t="str"/>
      <x:c r="BN437" s="12" t="str"/>
      <x:c r="BO437" s="12" t="str"/>
      <x:c r="BP437" s="12" t="str"/>
      <x:c r="BQ437" s="12" t="str"/>
    </x:row>
    <x:row r="438">
      <x:c r="A438" s="9" t="str">
        <x:v>laserdisc-42</x:v>
      </x:c>
      <x:c r="B438" s="9" t="str">
        <x:v>quarterhorse</x:v>
      </x:c>
      <x:c r="C438" s="9" t="str">
        <x:v>Laserdisc arcade</x:v>
      </x:c>
      <x:c r="D438" s="9" t="str">
        <x:v>Quarterhorse</x:v>
      </x:c>
      <x:c r="E438" s="9" t="str">
        <x:v>Quarter Horse</x:v>
      </x:c>
      <x:c r="F438" s="9" t="str">
        <x:v>Electro Sport</x:v>
      </x:c>
      <x:c r="G438" s="9" t="str">
        <x:v>Electro Sport (NA)</x:v>
      </x:c>
      <x:c r="H438" s="9" t="n">
        <x:v>1981</x:v>
      </x:c>
      <x:c r="I438" s="9" t="str">
        <x:v>Yes</x:v>
      </x:c>
      <x:c r="J438" s="9" t="str">
        <x:v>No</x:v>
      </x:c>
      <x:c r="K438" s="9" t="str">
        <x:v>No</x:v>
      </x:c>
      <x:c r="L438" s="9" t="str">
        <x:v>No</x:v>
      </x:c>
      <x:c r="M438" s="9" t="str">
        <x:v>Horse-race betting</x:v>
      </x:c>
      <x:c r="N438" s="9" t="str">
        <x:v>Live-action</x:v>
      </x:c>
      <x:c r="O438" s="9" t="n">
        <x:v>10</x:v>
      </x:c>
      <x:c r="P438" s="9" t="str">
        <x:v>Laserdisc arcade</x:v>
      </x:c>
      <x:c r="Q438" s="9" t="str">
        <x:v>NOT obtainable</x:v>
      </x:c>
      <x:c r="R438" s="9" t="str">
        <x:v>Original live-action footage of real Quarter Horse races</x:v>
      </x:c>
      <x:c r="S438" s="9" t="str">
        <x:v>None</x:v>
      </x:c>
      <x:c r="T438" s="9" t="str">
        <x:v>—</x:v>
      </x:c>
      <x:c r="U438" s="9" t="n">
        <x:v>1</x:v>
      </x:c>
      <x:c r="V438" s="9" t="str">
        <x:v>No</x:v>
      </x:c>
      <x:c r="W438" s="9" t="str">
        <x:v>Upright cabinet, two monitors (race on top, betting/results below); Select/Bet and Next Game/Start Race buttons; Pioneer PR-8210 / VP-1000 or Magnavox VC-8010 player (later versions serial-input players)</x:v>
      </x:c>
      <x:c r="X438" s="9" t="str">
        <x:v>Low</x:v>
      </x:c>
      <x:c r="Y438" s="9" t="str"/>
      <x:c r="Z438" s="9" t="str">
        <x:v>1–2 min per race</x:v>
      </x:c>
      <x:c r="AA438" s="9" t="str">
        <x:v>Arguably the first laserdisc arcade game ever, from 1981: you bet on filmed horse races two years before Dragon's Lair.</x:v>
      </x:c>
      <x:c r="AB438" s="9" t="str">
        <x:v>None known</x:v>
      </x:c>
      <x:c r="AC438" s="9" t="str">
        <x:v>Full-screen live-action race footage; computer picks a winner weighted by the odds and plays that race</x:v>
      </x:c>
      <x:c r="AD438" s="9" t="str">
        <x:v>Pure chance; no skill involved</x:v>
      </x:c>
      <x:c r="AE438" s="9" t="str">
        <x:v>None; random race outcomes</x:v>
      </x:c>
      <x:c r="AF438" s="9" t="str">
        <x:v>KLOV calls it the first horse racing game to use real Quarter Horses on video and the first gambling game to use a laserdisc.</x:v>
      </x:c>
      <x:c r="AG438" s="9" t="str">
        <x:v>Two-player 'piano-style' upright and a single-monitor version; Quarter Horse II sequel (verify)</x:v>
      </x:c>
      <x:c r="AH438" s="9" t="str">
        <x:v>No (not emulated in MAME, Daphne or Hypseus; only surviving cabinets)</x:v>
      </x:c>
      <x:c r="AI438" s="9" t="str">
        <x:v>Lost</x:v>
      </x:c>
      <x:c r="AJ438" s="9" t="str">
        <x:v>At home: Not emulated in MAME, Daphne or Hypseus; only surviving cabinets.</x:v>
      </x:c>
      <x:c r="AK438" s="9" t="str">
        <x:v>unMAMEd lists it as 1983; KLOV gives 1981. A gambling machine more than a game. KLOV: https://www.arcade-museum.com/Videogame/quarter-horse</x:v>
      </x:c>
      <x:c r="AL438" s="10"/>
      <x:c r="AM438" s="10"/>
      <x:c r="AN438" s="10"/>
      <x:c r="AO438" s="9"/>
      <x:c r="AP438" s="9"/>
      <x:c r="AQ438" s="9"/>
      <x:c r="AR438" s="9"/>
      <x:c r="AS438" s="9"/>
      <x:c r="AT438" s="9"/>
      <x:c r="AU438" s="9"/>
      <x:c r="AV438" s="9"/>
      <x:c r="AW438" s="9"/>
      <x:c r="AX438" s="9"/>
      <x:c r="AY438" s="9"/>
      <x:c r="AZ438" s="9"/>
      <x:c r="BA438" s="11" t="str">
        <x:f>HYPERLINK("https://www.mobygames.com/search/?q=Quarterhorse","MobyGames")</x:f>
        <x:v>MobyGames</x:v>
      </x:c>
      <x:c r="BB438" s="9"/>
      <x:c r="BC438" s="9"/>
      <x:c r="BD438" s="9"/>
      <x:c r="BE438" s="9"/>
      <x:c r="BF438" s="11" t="str">
        <x:f>HYPERLINK("https://backloggd.com/search/games/Quarterhorse/","Backloggd")</x:f>
        <x:v>Backloggd</x:v>
      </x:c>
      <x:c r="BG438" s="9"/>
      <x:c r="BH438" s="11" t="str">
        <x:f>HYPERLINK("https://www.arcade-museum.com/Videogame/quarter-horse","KLOV")</x:f>
        <x:v>KLOV</x:v>
      </x:c>
      <x:c r="BI438" s="12" t="str">
        <x:v>No</x:v>
      </x:c>
      <x:c r="BJ438" s="12" t="str"/>
      <x:c r="BK438" s="12" t="str">
        <x:v>No</x:v>
      </x:c>
      <x:c r="BL438" s="12" t="str"/>
      <x:c r="BM438" s="12" t="str"/>
      <x:c r="BN438" s="12" t="str"/>
      <x:c r="BO438" s="12" t="str"/>
      <x:c r="BP438" s="12" t="str"/>
      <x:c r="BQ438" s="12" t="str"/>
    </x:row>
    <x:row r="439">
      <x:c r="A439" s="9" t="str">
        <x:v>laserdisc-43</x:v>
      </x:c>
      <x:c r="B439" s="9" t="str">
        <x:v>freedom-fighter</x:v>
      </x:c>
      <x:c r="C439" s="9" t="str">
        <x:v>Laserdisc arcade</x:v>
      </x:c>
      <x:c r="D439" s="9" t="str">
        <x:v>Freedom Fighter</x:v>
      </x:c>
      <x:c r="E439" s="9" t="str">
        <x:v>999 Interactive Movie (earliest version)</x:v>
      </x:c>
      <x:c r="F439" s="9" t="str">
        <x:v>999 Game Group</x:v>
      </x:c>
      <x:c r="G439" s="9" t="str">
        <x:v>Millennium Game Products (Malibu Grand Prix division) (NA)</x:v>
      </x:c>
      <x:c r="H439" s="9" t="n">
        <x:v>1987</x:v>
      </x:c>
      <x:c r="I439" s="9" t="str">
        <x:v>Yes</x:v>
      </x:c>
      <x:c r="J439" s="9" t="str">
        <x:v>No</x:v>
      </x:c>
      <x:c r="K439" s="9" t="str">
        <x:v>No</x:v>
      </x:c>
      <x:c r="L439" s="9" t="str">
        <x:v>No</x:v>
      </x:c>
      <x:c r="M439" s="9" t="str">
        <x:v>Interactive movie / action</x:v>
      </x:c>
      <x:c r="N439" s="9" t="str">
        <x:v>Animated</x:v>
      </x:c>
      <x:c r="O439" s="9" t="n">
        <x:v>10</x:v>
      </x:c>
      <x:c r="P439" s="9" t="str">
        <x:v>Laserdisc arcade</x:v>
      </x:c>
      <x:c r="Q439" s="9" t="str">
        <x:v>NOT obtainable</x:v>
      </x:c>
      <x:c r="R439" s="9" t="str">
        <x:v>Repurposed Toei anime footage from the films Galaxy Express 999 (1979) and Adieu Galaxy Express 999 (1981)</x:v>
      </x:c>
      <x:c r="S439" s="9" t="str">
        <x:v>None</x:v>
      </x:c>
      <x:c r="T439" s="9" t="str">
        <x:v>—</x:v>
      </x:c>
      <x:c r="U439" s="9" t="n">
        <x:v>1</x:v>
      </x:c>
      <x:c r="V439" s="9" t="str">
        <x:v>No</x:v>
      </x:c>
      <x:c r="W439" s="9" t="str">
        <x:v>Joystick + slow-motion button; two versions are Williams Star Rider conversions (6809), plus a dedicated 68000 cabinet; Philips 22VP931 laserdisc player</x:v>
      </x:c>
      <x:c r="X439" s="9" t="str">
        <x:v>HIGH</x:v>
      </x:c>
      <x:c r="Y439" s="9" t="str">
        <x:v>Galaxy Express 999 film footage and music (Toei)</x:v>
      </x:c>
      <x:c r="Z439" s="9" t="str">
        <x:v>Unknown — verify (short)</x:v>
      </x:c>
      <x:c r="AA439" s="9" t="str">
        <x:v>Leiji Matsumoto's Galaxy Express 999 films recut into a Dragon's Lair-style arcade game by a go-kart company.</x:v>
      </x:c>
      <x:c r="AB439" s="9" t="str">
        <x:v>None known</x:v>
      </x:c>
      <x:c r="AC439" s="9" t="str">
        <x:v>Full-screen anime footage; player picks moves at decision points, a death returns to the previous decision point</x:v>
      </x:c>
      <x:c r="AD439" s="9" t="str">
        <x:v>Unknown — verify</x:v>
      </x:c>
      <x:c r="AE439" s="9" t="str">
        <x:v>Single ending (verify)</x:v>
      </x:c>
      <x:c r="AF439" s="9" t="str">
        <x:v>Millennium's only game before the division shut down; TCRF documents unused cinematics, music and debug text on the disc.</x:v>
      </x:c>
      <x:c r="AG439" s="9" t="str">
        <x:v>999 Interactive Movie (early), two Star Rider conversion versions, dedicated 68000 version</x:v>
      </x:c>
      <x:c r="AH439" s="9" t="str">
        <x:v>No (ROMs dumped but not emulated in MAME/Daphne/Hypseus per TCRF; the films themselves are on home video)</x:v>
      </x:c>
      <x:c r="AI439" s="9" t="str">
        <x:v>Lost</x:v>
      </x:c>
      <x:c r="AJ439" s="9" t="str">
        <x:v>At home: ROMs dumped but not emulated in MAME/Daphne/Hypseus per TCRF; the films themselves are on home video.</x:v>
      </x:c>
      <x:c r="AK439" s="9" t="str">
        <x:v>TCRF: https://www.tcrf.net/Freedom_Fighter_(Arcade). DLP: https://dragons-lair-project.com/games/pages/ffr.asp. Disc dump status unclear (verify).</x:v>
      </x:c>
      <x:c r="AL439" s="10"/>
      <x:c r="AM439" s="10"/>
      <x:c r="AN439" s="10"/>
      <x:c r="AO439" s="9"/>
      <x:c r="AP439" s="9"/>
      <x:c r="AQ439" s="9"/>
      <x:c r="AR439" s="9"/>
      <x:c r="AS439" s="9"/>
      <x:c r="AT439" s="9"/>
      <x:c r="AU439" s="9"/>
      <x:c r="AV439" s="9"/>
      <x:c r="AW439" s="9"/>
      <x:c r="AX439" s="9"/>
      <x:c r="AY439" s="9"/>
      <x:c r="AZ439" s="9"/>
      <x:c r="BA439" s="11" t="str">
        <x:f>HYPERLINK("https://www.mobygames.com/search/?q=Freedom+Fighter","MobyGames")</x:f>
        <x:v>MobyGames</x:v>
      </x:c>
      <x:c r="BB439" s="9"/>
      <x:c r="BC439" s="9"/>
      <x:c r="BD439" s="9"/>
      <x:c r="BE439" s="9"/>
      <x:c r="BF439" s="11" t="str">
        <x:f>HYPERLINK("https://backloggd.com/search/games/Freedom%20Fighter/","Backloggd")</x:f>
        <x:v>Backloggd</x:v>
      </x:c>
      <x:c r="BG439" s="9"/>
      <x:c r="BH439" s="11" t="str">
        <x:f>HYPERLINK("https://arcade-museum.com/Videogame/freedom-fighter","KLOV")</x:f>
        <x:v>KLOV</x:v>
      </x:c>
      <x:c r="BI439" s="12" t="str">
        <x:v>No</x:v>
      </x:c>
      <x:c r="BJ439" s="12" t="str"/>
      <x:c r="BK439" s="12" t="str">
        <x:v>No</x:v>
      </x:c>
      <x:c r="BL439" s="12" t="str"/>
      <x:c r="BM439" s="12" t="str"/>
      <x:c r="BN439" s="12" t="str"/>
      <x:c r="BO439" s="12" t="str"/>
      <x:c r="BP439" s="12" t="str"/>
      <x:c r="BQ439" s="12" t="str"/>
    </x:row>
    <x:row r="440">
      <x:c r="A440" s="9" t="str">
        <x:v>laserdisc-44</x:v>
      </x:c>
      <x:c r="B440" s="9" t="str">
        <x:v>pitchman</x:v>
      </x:c>
      <x:c r="C440" s="9" t="str">
        <x:v>Laserdisc arcade</x:v>
      </x:c>
      <x:c r="D440" s="9" t="str">
        <x:v>Pitchman</x:v>
      </x:c>
      <x:c r="E440" s="9" t="str">
        <x:v>Dr. Slye's Sideshow (working title)</x:v>
      </x:c>
      <x:c r="F440" s="9" t="str">
        <x:v>Laserdisc Computer Systems (LDCS)</x:v>
      </x:c>
      <x:c r="G440" s="9" t="str">
        <x:v>Stern (unreleased)</x:v>
      </x:c>
      <x:c r="H440" s="9" t="n">
        <x:v>1983</x:v>
      </x:c>
      <x:c r="I440" s="9" t="str">
        <x:v>No</x:v>
      </x:c>
      <x:c r="J440" s="9" t="str">
        <x:v>No</x:v>
      </x:c>
      <x:c r="K440" s="9" t="str">
        <x:v>No</x:v>
      </x:c>
      <x:c r="L440" s="9" t="str">
        <x:v>No</x:v>
      </x:c>
      <x:c r="M440" s="9" t="str">
        <x:v>Target shooting / carnival</x:v>
      </x:c>
      <x:c r="N440" s="9" t="str">
        <x:v>Live-action</x:v>
      </x:c>
      <x:c r="O440" s="9" t="n">
        <x:v>9</x:v>
      </x:c>
      <x:c r="P440" s="9" t="str">
        <x:v>Prototype</x:v>
      </x:c>
      <x:c r="Q440" s="9" t="str">
        <x:v>NOT obtainable</x:v>
      </x:c>
      <x:c r="R440" s="9" t="str">
        <x:v>Original live-action laserdisc footage of a carnival sideshow</x:v>
      </x:c>
      <x:c r="S440" s="9" t="str">
        <x:v>None</x:v>
      </x:c>
      <x:c r="T440" s="9" t="str">
        <x:v>—</x:v>
      </x:c>
      <x:c r="U440" s="9" t="n">
        <x:v>1</x:v>
      </x:c>
      <x:c r="V440" s="9" t="str">
        <x:v>No</x:v>
      </x:c>
      <x:c r="W440" s="9" t="str">
        <x:v>Unknown — verify</x:v>
      </x:c>
      <x:c r="X440" s="9" t="str">
        <x:v>Low</x:v>
      </x:c>
      <x:c r="Y440" s="9" t="str"/>
      <x:c r="Z440" s="9" t="str">
        <x:v>Unknown — verify</x:v>
      </x:c>
      <x:c r="AA440" s="9" t="str">
        <x:v>A one-of-a-kind Stern carnival prototype where Dr. Slye runs live-action sideshow booths.</x:v>
      </x:c>
      <x:c r="AB440" s="9" t="str">
        <x:v>None known</x:v>
      </x:c>
      <x:c r="AC440" s="9" t="str">
        <x:v>High-resolution live-action laserdisc video combined with low-resolution real-time computer graphics</x:v>
      </x:c>
      <x:c r="AD440" s="9" t="str">
        <x:v>Unknown — verify</x:v>
      </x:c>
      <x:c r="AE440" s="9" t="str">
        <x:v>Unknown — verify</x:v>
      </x:c>
      <x:c r="AF440" s="9" t="str">
        <x:v>Only about 4 of 15–16 planned booths (balloon darts, baseball pitch, roller coaster) worked when Stern left video games and cancelled it.</x:v>
      </x:c>
      <x:c r="AG440" s="9" t="str">
        <x:v>Single prototype</x:v>
      </x:c>
      <x:c r="AH440" s="9" t="str">
        <x:v>No (possibly only one copy exists; not dumped or emulated)</x:v>
      </x:c>
      <x:c r="AI440" s="9" t="str">
        <x:v>Lost</x:v>
      </x:c>
      <x:c r="AJ440" s="9" t="str">
        <x:v>At home: Possibly only one copy exists; not dumped or emulated.</x:v>
      </x:c>
      <x:c r="AK440" s="9" t="str">
        <x:v>Covered in a January 1984 Video Games magazine article. DLP: https://www.dragons-lair-project.com/games/unreleased/stern.asp</x:v>
      </x:c>
      <x:c r="AL440" s="10"/>
      <x:c r="AM440" s="10"/>
      <x:c r="AN440" s="10"/>
      <x:c r="AO440" s="9"/>
      <x:c r="AP440" s="9"/>
      <x:c r="AQ440" s="9"/>
      <x:c r="AR440" s="9"/>
      <x:c r="AS440" s="9"/>
      <x:c r="AT440" s="9"/>
      <x:c r="AU440" s="9"/>
      <x:c r="AV440" s="9"/>
      <x:c r="AW440" s="9"/>
      <x:c r="AX440" s="9"/>
      <x:c r="AY440" s="9"/>
      <x:c r="AZ440" s="9"/>
      <x:c r="BA440" s="11" t="str">
        <x:f>HYPERLINK("https://www.mobygames.com/search/?q=Pitchman","MobyGames")</x:f>
        <x:v>MobyGames</x:v>
      </x:c>
      <x:c r="BB440" s="9"/>
      <x:c r="BC440" s="9"/>
      <x:c r="BD440" s="9"/>
      <x:c r="BE440" s="9"/>
      <x:c r="BF440" s="11" t="str">
        <x:f>HYPERLINK("https://backloggd.com/search/games/Pitchman/","Backloggd")</x:f>
        <x:v>Backloggd</x:v>
      </x:c>
      <x:c r="BG440" s="9"/>
      <x:c r="BH440" s="9"/>
      <x:c r="BI440" s="12" t="str">
        <x:v>No</x:v>
      </x:c>
      <x:c r="BJ440" s="12" t="str"/>
      <x:c r="BK440" s="12" t="str">
        <x:v>No</x:v>
      </x:c>
      <x:c r="BL440" s="12" t="str"/>
      <x:c r="BM440" s="12" t="str"/>
      <x:c r="BN440" s="12" t="str"/>
      <x:c r="BO440" s="12" t="str"/>
      <x:c r="BP440" s="12" t="str"/>
      <x:c r="BQ440" s="12" t="str"/>
    </x:row>
    <x:row r="441">
      <x:c r="A441" s="9" t="str">
        <x:v>laserdisc-45</x:v>
      </x:c>
      <x:c r="B441" s="9" t="str">
        <x:v>atomic-castle</x:v>
      </x:c>
      <x:c r="C441" s="9" t="str">
        <x:v>Laserdisc arcade</x:v>
      </x:c>
      <x:c r="D441" s="9" t="str">
        <x:v>Atomic Castle</x:v>
      </x:c>
      <x:c r="E441" s="9" t="str">
        <x:v>Eon and the Time Tunnel (prototype/demo)</x:v>
      </x:c>
      <x:c r="F441" s="9" t="str">
        <x:v>Laserdisc Computer Systems (LDCS)</x:v>
      </x:c>
      <x:c r="G441" s="9" t="str">
        <x:v>Stern (planned; unMAMEd also names Sega/Bally/Midway)</x:v>
      </x:c>
      <x:c r="H441" s="9" t="n">
        <x:v>1983</x:v>
      </x:c>
      <x:c r="I441" s="9" t="str">
        <x:v>No</x:v>
      </x:c>
      <x:c r="J441" s="9" t="str">
        <x:v>No</x:v>
      </x:c>
      <x:c r="K441" s="9" t="str">
        <x:v>No</x:v>
      </x:c>
      <x:c r="L441" s="9" t="str">
        <x:v>No</x:v>
      </x:c>
      <x:c r="M441" s="9" t="str">
        <x:v>Action adventure</x:v>
      </x:c>
      <x:c r="N441" s="9" t="str">
        <x:v>Unknown — verify</x:v>
      </x:c>
      <x:c r="O441" s="9" t="n">
        <x:v>9</x:v>
      </x:c>
      <x:c r="P441" s="9" t="str">
        <x:v>Prototype</x:v>
      </x:c>
      <x:c r="Q441" s="9" t="str">
        <x:v>NOT obtainable</x:v>
      </x:c>
      <x:c r="R441" s="9" t="str">
        <x:v>Unknown — verify</x:v>
      </x:c>
      <x:c r="S441" s="9" t="str">
        <x:v>None</x:v>
      </x:c>
      <x:c r="T441" s="9" t="str">
        <x:v>—</x:v>
      </x:c>
      <x:c r="U441" s="9" t="n">
        <x:v>1</x:v>
      </x:c>
      <x:c r="V441" s="9" t="str">
        <x:v>No</x:v>
      </x:c>
      <x:c r="W441" s="9" t="str">
        <x:v>Upright cabinet; laserdisc player model unknown</x:v>
      </x:c>
      <x:c r="X441" s="9" t="str">
        <x:v>Low</x:v>
      </x:c>
      <x:c r="Y441" s="9" t="str"/>
      <x:c r="Z441" s="9" t="str">
        <x:v>Unknown — verify</x:v>
      </x:c>
      <x:c r="AA441" s="9" t="str">
        <x:v>A lost 1983 laserdisc game about disarming a doomsday device in a radioactive castle, with no known surviving copies.</x:v>
      </x:c>
      <x:c r="AB441" s="9" t="str">
        <x:v>None known</x:v>
      </x:c>
      <x:c r="AC441" s="9" t="str">
        <x:v>Laserdisc backgrounds with overlaid targets (verify)</x:v>
      </x:c>
      <x:c r="AD441" s="9" t="str">
        <x:v>Radiation meter rises; too high costs a life</x:v>
      </x:c>
      <x:c r="AE441" s="9" t="str">
        <x:v>Unknown — verify</x:v>
      </x:c>
      <x:c r="AF441" s="9" t="str">
        <x:v>DLP says no known copies survive, though unMAMEd says there may be one.</x:v>
      </x:c>
      <x:c r="AG441" s="9" t="str">
        <x:v>Eon and the Time Tunnel prototype/demo version</x:v>
      </x:c>
      <x:c r="AH441" s="9" t="str">
        <x:v>No (lost or a single copy; not dumped)</x:v>
      </x:c>
      <x:c r="AI441" s="9" t="str">
        <x:v>Lost</x:v>
      </x:c>
      <x:c r="AJ441" s="9" t="str">
        <x:v>At home: Lost or a single copy; not dumped.</x:v>
      </x:c>
      <x:c r="AK441" s="9" t="str">
        <x:v>KLOV lists 1984 with a 1983 USA flyer. Gameplay: destroy radiation orbs and undead monsters to keep radiation down. KLOV: https://arcade-museum.com/Videogame/atomic-castle</x:v>
      </x:c>
      <x:c r="AL441" s="10"/>
      <x:c r="AM441" s="10"/>
      <x:c r="AN441" s="10"/>
      <x:c r="AO441" s="9"/>
      <x:c r="AP441" s="9"/>
      <x:c r="AQ441" s="9"/>
      <x:c r="AR441" s="9"/>
      <x:c r="AS441" s="9"/>
      <x:c r="AT441" s="9"/>
      <x:c r="AU441" s="9"/>
      <x:c r="AV441" s="9"/>
      <x:c r="AW441" s="9"/>
      <x:c r="AX441" s="9"/>
      <x:c r="AY441" s="9"/>
      <x:c r="AZ441" s="9"/>
      <x:c r="BA441" s="11" t="str">
        <x:f>HYPERLINK("https://www.mobygames.com/search/?q=Atomic+Castle","MobyGames")</x:f>
        <x:v>MobyGames</x:v>
      </x:c>
      <x:c r="BB441" s="9"/>
      <x:c r="BC441" s="9"/>
      <x:c r="BD441" s="9"/>
      <x:c r="BE441" s="9"/>
      <x:c r="BF441" s="11" t="str">
        <x:f>HYPERLINK("https://backloggd.com/search/games/Atomic%20Castle/","Backloggd")</x:f>
        <x:v>Backloggd</x:v>
      </x:c>
      <x:c r="BG441" s="9"/>
      <x:c r="BH441" s="11" t="str">
        <x:f>HYPERLINK("https://arcade-museum.com/Videogame/atomic-castle","KLOV")</x:f>
        <x:v>KLOV</x:v>
      </x:c>
      <x:c r="BI441" s="12" t="str">
        <x:v>No</x:v>
      </x:c>
      <x:c r="BJ441" s="12" t="str"/>
      <x:c r="BK441" s="12" t="str">
        <x:v>No</x:v>
      </x:c>
      <x:c r="BL441" s="12" t="str"/>
      <x:c r="BM441" s="12" t="str"/>
      <x:c r="BN441" s="12" t="str"/>
      <x:c r="BO441" s="12" t="str"/>
      <x:c r="BP441" s="12" t="str"/>
      <x:c r="BQ441" s="12" t="str"/>
    </x:row>
    <x:row r="442">
      <x:c r="A442" s="9" t="str">
        <x:v>laserdisc-46</x:v>
      </x:c>
      <x:c r="B442" s="9" t="str">
        <x:v>gold-medal-with-bruce-jenner</x:v>
      </x:c>
      <x:c r="C442" s="9" t="str">
        <x:v>Laserdisc arcade</x:v>
      </x:c>
      <x:c r="D442" s="9" t="str">
        <x:v>Gold Medal with Bruce Jenner</x:v>
      </x:c>
      <x:c r="E442" s="9" t="str"/>
      <x:c r="F442" s="9" t="str">
        <x:v>Unknown — verify</x:v>
      </x:c>
      <x:c r="G442" s="9" t="str">
        <x:v>Stern (unreleased)</x:v>
      </x:c>
      <x:c r="H442" s="9" t="n">
        <x:v>1984</x:v>
      </x:c>
      <x:c r="I442" s="9" t="str">
        <x:v>No</x:v>
      </x:c>
      <x:c r="J442" s="9" t="str">
        <x:v>No</x:v>
      </x:c>
      <x:c r="K442" s="9" t="str">
        <x:v>No</x:v>
      </x:c>
      <x:c r="L442" s="9" t="str">
        <x:v>No</x:v>
      </x:c>
      <x:c r="M442" s="9" t="str">
        <x:v>Sports (track and field)</x:v>
      </x:c>
      <x:c r="N442" s="9" t="str">
        <x:v>Live-action</x:v>
      </x:c>
      <x:c r="O442" s="9" t="n">
        <x:v>5</x:v>
      </x:c>
      <x:c r="P442" s="9" t="str">
        <x:v>Prototype</x:v>
      </x:c>
      <x:c r="Q442" s="9" t="str">
        <x:v>NOT obtainable</x:v>
      </x:c>
      <x:c r="R442" s="9" t="str">
        <x:v>Original live-action footage featuring Bruce (now Caitlyn) Jenner (verify)</x:v>
      </x:c>
      <x:c r="S442" s="9" t="str">
        <x:v>None</x:v>
      </x:c>
      <x:c r="T442" s="9" t="str">
        <x:v>Bruce (Caitlyn) Jenner</x:v>
      </x:c>
      <x:c r="U442" s="9" t="n">
        <x:v>1</x:v>
      </x:c>
      <x:c r="V442" s="9" t="str">
        <x:v>No</x:v>
      </x:c>
      <x:c r="W442" s="9" t="str">
        <x:v>Unknown — verify</x:v>
      </x:c>
      <x:c r="X442" s="9" t="str">
        <x:v>Low–Med</x:v>
      </x:c>
      <x:c r="Y442" s="9" t="str">
        <x:v>Celebrity likeness; unknown music</x:v>
      </x:c>
      <x:c r="Z442" s="9" t="str">
        <x:v>Unknown — verify</x:v>
      </x:c>
      <x:c r="AA442" s="9" t="str">
        <x:v>An Olympic-decathlon laserdisc game fronted by Bruce Jenner that Stern showed at AMOA 1984 and then shelved.</x:v>
      </x:c>
      <x:c r="AB442" s="9" t="str">
        <x:v>None known</x:v>
      </x:c>
      <x:c r="AC442" s="9" t="str">
        <x:v>Unknown — verify</x:v>
      </x:c>
      <x:c r="AD442" s="9" t="str">
        <x:v>Unknown — verify</x:v>
      </x:c>
      <x:c r="AE442" s="9" t="str">
        <x:v>Unknown — verify</x:v>
      </x:c>
      <x:c r="AF442" s="9" t="str">
        <x:v>Shown at the 1984 AMOA trade show; Stern decided against production. Two cabinets reportedly exist.</x:v>
      </x:c>
      <x:c r="AG442" s="9" t="str">
        <x:v>Prototype only</x:v>
      </x:c>
      <x:c r="AH442" s="9" t="str">
        <x:v>No (two cabinets; DLP hosts clips but no full disc/ROM dump known)</x:v>
      </x:c>
      <x:c r="AI442" s="9" t="str">
        <x:v>Lost</x:v>
      </x:c>
      <x:c r="AJ442" s="9" t="str">
        <x:v>At home: Two cabinets; DLP hosts clips but no full disc/ROM dump known.</x:v>
      </x:c>
      <x:c r="AK442" s="9" t="str">
        <x:v>fmv value is a guess (verify); gameplay undescribed. DLP has screenshots and six disc clips: https://www.dragons-lair-project.com/games/unreleased/stern.asp</x:v>
      </x:c>
      <x:c r="AL442" s="10"/>
      <x:c r="AM442" s="10"/>
      <x:c r="AN442" s="10"/>
      <x:c r="AO442" s="9"/>
      <x:c r="AP442" s="9"/>
      <x:c r="AQ442" s="9"/>
      <x:c r="AR442" s="9"/>
      <x:c r="AS442" s="9"/>
      <x:c r="AT442" s="9"/>
      <x:c r="AU442" s="9"/>
      <x:c r="AV442" s="9"/>
      <x:c r="AW442" s="9"/>
      <x:c r="AX442" s="9"/>
      <x:c r="AY442" s="9"/>
      <x:c r="AZ442" s="9"/>
      <x:c r="BA442" s="11" t="str">
        <x:f>HYPERLINK("https://www.mobygames.com/search/?q=Gold+Medal+with+Bruce+Jenner","MobyGames")</x:f>
        <x:v>MobyGames</x:v>
      </x:c>
      <x:c r="BB442" s="9"/>
      <x:c r="BC442" s="9"/>
      <x:c r="BD442" s="9"/>
      <x:c r="BE442" s="9"/>
      <x:c r="BF442" s="11" t="str">
        <x:f>HYPERLINK("https://backloggd.com/search/games/Gold%20Medal%20with%20Bruce%20Jenner/","Backloggd")</x:f>
        <x:v>Backloggd</x:v>
      </x:c>
      <x:c r="BG442" s="9"/>
      <x:c r="BH442" s="11" t="str">
        <x:f>HYPERLINK("https://www.arcade-museum.com/Videogame/gold-medal-with-bruce-jenner","KLOV")</x:f>
        <x:v>KLOV</x:v>
      </x:c>
      <x:c r="BI442" s="12" t="str">
        <x:v>No</x:v>
      </x:c>
      <x:c r="BJ442" s="12" t="str"/>
      <x:c r="BK442" s="12" t="str">
        <x:v>No</x:v>
      </x:c>
      <x:c r="BL442" s="12" t="str"/>
      <x:c r="BM442" s="12" t="str"/>
      <x:c r="BN442" s="12" t="str"/>
      <x:c r="BO442" s="12" t="str"/>
      <x:c r="BP442" s="12" t="str"/>
      <x:c r="BQ442" s="12" t="str"/>
    </x:row>
    <x:row r="443">
      <x:c r="A443" s="9" t="str">
        <x:v>laserdisc-47</x:v>
      </x:c>
      <x:c r="B443" s="9" t="str">
        <x:v>road-runner</x:v>
      </x:c>
      <x:c r="C443" s="9" t="str">
        <x:v>Laserdisc arcade</x:v>
      </x:c>
      <x:c r="D443" s="9" t="str">
        <x:v>Road Runner</x:v>
      </x:c>
      <x:c r="E443" s="9" t="str"/>
      <x:c r="F443" s="9" t="str">
        <x:v>Atari Games</x:v>
      </x:c>
      <x:c r="G443" s="9" t="str">
        <x:v>Atari (unreleased)</x:v>
      </x:c>
      <x:c r="H443" s="9" t="n">
        <x:v>1984</x:v>
      </x:c>
      <x:c r="I443" s="9" t="str">
        <x:v>No</x:v>
      </x:c>
      <x:c r="J443" s="9" t="str">
        <x:v>No</x:v>
      </x:c>
      <x:c r="K443" s="9" t="str">
        <x:v>No</x:v>
      </x:c>
      <x:c r="L443" s="9" t="str">
        <x:v>No</x:v>
      </x:c>
      <x:c r="M443" s="9" t="str">
        <x:v>Action / chase</x:v>
      </x:c>
      <x:c r="N443" s="9" t="str">
        <x:v>Animated</x:v>
      </x:c>
      <x:c r="O443" s="9" t="n">
        <x:v>6</x:v>
      </x:c>
      <x:c r="P443" s="9" t="str">
        <x:v>Prototype</x:v>
      </x:c>
      <x:c r="Q443" s="9" t="str">
        <x:v>NOT obtainable</x:v>
      </x:c>
      <x:c r="R443" s="9" t="str">
        <x:v>Warner Bros. Looney Tunes Road Runner cartoons (death scenes cut to real cartoon clips)</x:v>
      </x:c>
      <x:c r="S443" s="9" t="str">
        <x:v>None as laserdisc; the non-laserdisc 1985 Road Runner (Atari System 1) and its home ports are a different release</x:v>
      </x:c>
      <x:c r="T443" s="9" t="str">
        <x:v>—</x:v>
      </x:c>
      <x:c r="U443" s="9" t="n">
        <x:v>1</x:v>
      </x:c>
      <x:c r="V443" s="9" t="str">
        <x:v>No</x:v>
      </x:c>
      <x:c r="W443" s="9" t="str">
        <x:v>Prototype upright; joystick; laserdisc player model unknown</x:v>
      </x:c>
      <x:c r="X443" s="9" t="str">
        <x:v>HIGH</x:v>
      </x:c>
      <x:c r="Y443" s="9" t="str">
        <x:v>Warner Bros. Looney Tunes cartoon clips and music</x:v>
      </x:c>
      <x:c r="Z443" s="9" t="str">
        <x:v>Unknown — verify</x:v>
      </x:c>
      <x:c r="AA443" s="9" t="str">
        <x:v>Atari's lost laserdisc Road Runner, with live disc backgrounds and real Looney Tunes clips, was cut when it kept failing location tests.</x:v>
      </x:c>
      <x:c r="AB443" s="9" t="str">
        <x:v>None known</x:v>
      </x:c>
      <x:c r="AC443" s="9" t="str">
        <x:v>Video-game sprites over laserdisc background footage; animated cartoon cutscenes for deaths</x:v>
      </x:c>
      <x:c r="AD443" s="9" t="str">
        <x:v>Unknown — verify</x:v>
      </x:c>
      <x:c r="AE443" s="9" t="str">
        <x:v>Unknown — verify</x:v>
      </x:c>
      <x:c r="AF443" s="9" t="str">
        <x:v>It failed tests and was redesigned without the laserdisc; a CG-only System 1 conversion kit shipped a year later. A prototype cabinet was shown at California Extreme 2010.</x:v>
      </x:c>
      <x:c r="AG443" s="9" t="str">
        <x:v>Prototype cabinets (one shown at California Extreme 2010, one at an Atari facility)</x:v>
      </x:c>
      <x:c r="AH443" s="9" t="str">
        <x:v>No (laserdisc version not dumped/emulated; the 1985 non-laserdisc arcade game is in MAME and on Atari collections)</x:v>
      </x:c>
      <x:c r="AI443" s="9" t="str">
        <x:v>Lost</x:v>
      </x:c>
      <x:c r="AJ443" s="9" t="str">
        <x:v>At home: Laserdisc version not dumped/emulated; the 1985 non-laserdisc arcade game is in MAME and on Atari collections.</x:v>
      </x:c>
      <x:c r="AK443" s="9" t="str">
        <x:v>Not the cartridge or 1985 System 1 game. DLP: https://dragons-lair-project.com/games/unreleased/atari.asp</x:v>
      </x:c>
      <x:c r="AL443" s="10"/>
      <x:c r="AM443" s="10"/>
      <x:c r="AN443" s="10"/>
      <x:c r="AO443" s="9"/>
      <x:c r="AP443" s="9"/>
      <x:c r="AQ443" s="9"/>
      <x:c r="AR443" s="9"/>
      <x:c r="AS443" s="9"/>
      <x:c r="AT443" s="9"/>
      <x:c r="AU443" s="9"/>
      <x:c r="AV443" s="9"/>
      <x:c r="AW443" s="9"/>
      <x:c r="AX443" s="9"/>
      <x:c r="AY443" s="9"/>
      <x:c r="AZ443" s="9"/>
      <x:c r="BA443" s="11" t="str">
        <x:f>HYPERLINK("https://www.mobygames.com/search/?q=Road+Runner","MobyGames")</x:f>
        <x:v>MobyGames</x:v>
      </x:c>
      <x:c r="BB443" s="9"/>
      <x:c r="BC443" s="9"/>
      <x:c r="BD443" s="9"/>
      <x:c r="BE443" s="9"/>
      <x:c r="BF443" s="11" t="str">
        <x:f>HYPERLINK("https://backloggd.com/search/games/Road%20Runner/","Backloggd")</x:f>
        <x:v>Backloggd</x:v>
      </x:c>
      <x:c r="BG443" s="9"/>
      <x:c r="BH443" s="9"/>
      <x:c r="BI443" s="12" t="str">
        <x:v>No</x:v>
      </x:c>
      <x:c r="BJ443" s="12" t="str"/>
      <x:c r="BK443" s="12" t="str">
        <x:v>No</x:v>
      </x:c>
      <x:c r="BL443" s="12" t="str"/>
      <x:c r="BM443" s="12" t="str"/>
      <x:c r="BN443" s="12" t="str"/>
      <x:c r="BO443" s="12" t="str"/>
      <x:c r="BP443" s="12" t="str"/>
      <x:c r="BQ443" s="12" t="str"/>
    </x:row>
    <x:row r="444">
      <x:c r="A444" s="9" t="str">
        <x:v>laserdisc-48</x:v>
      </x:c>
      <x:c r="B444" s="9" t="str">
        <x:v>max-mile</x:v>
      </x:c>
      <x:c r="C444" s="9" t="str">
        <x:v>Laserdisc arcade</x:v>
      </x:c>
      <x:c r="D444" s="9" t="str">
        <x:v>Max Mile</x:v>
      </x:c>
      <x:c r="E444" s="9" t="str">
        <x:v>マクス・マイル</x:v>
      </x:c>
      <x:c r="F444" s="9" t="str">
        <x:v>Konami</x:v>
      </x:c>
      <x:c r="G444" s="9" t="str">
        <x:v>Konami (JP, if released)</x:v>
      </x:c>
      <x:c r="H444" s="9" t="n">
        <x:v>1984</x:v>
      </x:c>
      <x:c r="I444" s="9" t="str">
        <x:v>No</x:v>
      </x:c>
      <x:c r="J444" s="9" t="str">
        <x:v>No</x:v>
      </x:c>
      <x:c r="K444" s="9" t="str">
        <x:v>No</x:v>
      </x:c>
      <x:c r="L444" s="9" t="str">
        <x:v>No</x:v>
      </x:c>
      <x:c r="M444" s="9" t="str">
        <x:v>Adventure / action</x:v>
      </x:c>
      <x:c r="N444" s="9" t="str">
        <x:v>Live-action + CG</x:v>
      </x:c>
      <x:c r="O444" s="9" t="n">
        <x:v>9</x:v>
      </x:c>
      <x:c r="P444" s="9" t="str">
        <x:v>Prototype</x:v>
      </x:c>
      <x:c r="Q444" s="9" t="str">
        <x:v>NOT obtainable</x:v>
      </x:c>
      <x:c r="R444" s="9" t="str">
        <x:v>Animation and CG combined with live-action footage of American cities (New York)</x:v>
      </x:c>
      <x:c r="S444" s="9" t="str">
        <x:v>None</x:v>
      </x:c>
      <x:c r="T444" s="9" t="str">
        <x:v>—</x:v>
      </x:c>
      <x:c r="U444" s="9" t="n">
        <x:v>1</x:v>
      </x:c>
      <x:c r="V444" s="9" t="str">
        <x:v>No</x:v>
      </x:c>
      <x:c r="W444" s="9" t="str">
        <x:v>Upright cabinet; stereo sound; laserdisc player unknown</x:v>
      </x:c>
      <x:c r="X444" s="9" t="str">
        <x:v>Low</x:v>
      </x:c>
      <x:c r="Y444" s="9" t="str"/>
      <x:c r="Z444" s="9" t="str">
        <x:v>Unknown — verify</x:v>
      </x:c>
      <x:c r="AA444" s="9" t="str">
        <x:v>Konami's mystery laserdisc game: secret agent Mac rides into New York to stop the villain Great Pig.</x:v>
      </x:c>
      <x:c r="AB444" s="9" t="str">
        <x:v>None known</x:v>
      </x:c>
      <x:c r="AC444" s="9" t="str">
        <x:v>Animation/CG over live-action US city footage (verify)</x:v>
      </x:c>
      <x:c r="AD444" s="9" t="str">
        <x:v>Unknown — verify</x:v>
      </x:c>
      <x:c r="AE444" s="9" t="str">
        <x:v>Unknown — verify</x:v>
      </x:c>
      <x:c r="AF444" s="9" t="str">
        <x:v>The player is Mac, an agent of Dandy Lion, out to stop Great Pig at his New York headquarters.</x:v>
      </x:c>
      <x:c r="AG444" s="9" t="str">
        <x:v>Unknown — verify</x:v>
      </x:c>
      <x:c r="AH444" s="9" t="str">
        <x:v>No (unknown if finished or released; not dumped)</x:v>
      </x:c>
      <x:c r="AI444" s="9" t="str">
        <x:v>Lost</x:v>
      </x:c>
      <x:c r="AJ444" s="9" t="str">
        <x:v>At home: Unknown if finished or released; not dumped.</x:v>
      </x:c>
      <x:c r="AK444" s="9" t="str">
        <x:v>unMAMEd asks whether it was ever finished or released; jp left false pending confirmation. KLOV: https://arcade-museum.com/Videogame/max-mile</x:v>
      </x:c>
      <x:c r="AL444" s="10"/>
      <x:c r="AM444" s="10"/>
      <x:c r="AN444" s="10"/>
      <x:c r="AO444" s="9"/>
      <x:c r="AP444" s="9"/>
      <x:c r="AQ444" s="9"/>
      <x:c r="AR444" s="9"/>
      <x:c r="AS444" s="9"/>
      <x:c r="AT444" s="9"/>
      <x:c r="AU444" s="9"/>
      <x:c r="AV444" s="9"/>
      <x:c r="AW444" s="9"/>
      <x:c r="AX444" s="9"/>
      <x:c r="AY444" s="9"/>
      <x:c r="AZ444" s="9"/>
      <x:c r="BA444" s="11" t="str">
        <x:f>HYPERLINK("https://www.mobygames.com/search/?q=Max+Mile","MobyGames")</x:f>
        <x:v>MobyGames</x:v>
      </x:c>
      <x:c r="BB444" s="9"/>
      <x:c r="BC444" s="9"/>
      <x:c r="BD444" s="9"/>
      <x:c r="BE444" s="9"/>
      <x:c r="BF444" s="11" t="str">
        <x:f>HYPERLINK("https://backloggd.com/search/games/Max%20Mile/","Backloggd")</x:f>
        <x:v>Backloggd</x:v>
      </x:c>
      <x:c r="BG444" s="9"/>
      <x:c r="BH444" s="11" t="str">
        <x:f>HYPERLINK("https://arcade-museum.com/Videogame/max-mile","KLOV")</x:f>
        <x:v>KLOV</x:v>
      </x:c>
      <x:c r="BI444" s="12" t="str">
        <x:v>No</x:v>
      </x:c>
      <x:c r="BJ444" s="12" t="str"/>
      <x:c r="BK444" s="12" t="str">
        <x:v>No</x:v>
      </x:c>
      <x:c r="BL444" s="12" t="str"/>
      <x:c r="BM444" s="12" t="str"/>
      <x:c r="BN444" s="12" t="str"/>
      <x:c r="BO444" s="12" t="str"/>
      <x:c r="BP444" s="12" t="str"/>
      <x:c r="BQ444" s="12" t="str"/>
    </x:row>
    <x:row r="445">
      <x:c r="A445" s="9" t="str">
        <x:v>laserdisc-49</x:v>
      </x:c>
      <x:c r="B445" s="9" t="str">
        <x:v>top-gear</x:v>
      </x:c>
      <x:c r="C445" s="9" t="str">
        <x:v>Laserdisc arcade</x:v>
      </x:c>
      <x:c r="D445" s="9" t="str">
        <x:v>Top Gear</x:v>
      </x:c>
      <x:c r="E445" s="9" t="str"/>
      <x:c r="F445" s="9" t="str">
        <x:v>Universal</x:v>
      </x:c>
      <x:c r="G445" s="9" t="str">
        <x:v>Universal (JP)</x:v>
      </x:c>
      <x:c r="H445" s="9" t="n">
        <x:v>1984</x:v>
      </x:c>
      <x:c r="I445" s="9" t="str">
        <x:v>No</x:v>
      </x:c>
      <x:c r="J445" s="9" t="str">
        <x:v>No</x:v>
      </x:c>
      <x:c r="K445" s="9" t="str">
        <x:v>No</x:v>
      </x:c>
      <x:c r="L445" s="9" t="str">
        <x:v>No</x:v>
      </x:c>
      <x:c r="M445" s="9" t="str">
        <x:v>Racing</x:v>
      </x:c>
      <x:c r="N445" s="9" t="str">
        <x:v>Animated</x:v>
      </x:c>
      <x:c r="O445" s="9" t="n">
        <x:v>9</x:v>
      </x:c>
      <x:c r="P445" s="9" t="str">
        <x:v>Prototype</x:v>
      </x:c>
      <x:c r="Q445" s="9" t="str">
        <x:v>NOT obtainable</x:v>
      </x:c>
      <x:c r="R445" s="9" t="str">
        <x:v>Original animated 3-D racing footage</x:v>
      </x:c>
      <x:c r="S445" s="9" t="str">
        <x:v>None</x:v>
      </x:c>
      <x:c r="T445" s="9" t="str">
        <x:v>—</x:v>
      </x:c>
      <x:c r="U445" s="9" t="n">
        <x:v>1</x:v>
      </x:c>
      <x:c r="V445" s="9" t="str">
        <x:v>No</x:v>
      </x:c>
      <x:c r="W445" s="9" t="str">
        <x:v>Upright cabinet, steering wheel and one pedal; single player; laserdisc player unknown</x:v>
      </x:c>
      <x:c r="X445" s="9" t="str">
        <x:v>Low</x:v>
      </x:c>
      <x:c r="Y445" s="9" t="str"/>
      <x:c r="Z445" s="9" t="str">
        <x:v>About 8 min (four 120-second courses)</x:v>
      </x:c>
      <x:c r="AA445" s="9" t="str">
        <x:v>Universal's barely documented animated laserdisc racer through Present, Near Future, Future and Space courses.</x:v>
      </x:c>
      <x:c r="AB445" s="9" t="str">
        <x:v>None known</x:v>
      </x:c>
      <x:c r="AC445" s="9" t="str">
        <x:v>Animated 3-D racing footage on laserdisc (overlay details unknown)</x:v>
      </x:c>
      <x:c r="AD445" s="9" t="str">
        <x:v>Timer-based; finishing early banks bonus time</x:v>
      </x:c>
      <x:c r="AE445" s="9" t="str">
        <x:v>Game ends after the four courses</x:v>
      </x:c>
      <x:c r="AF445" s="9" t="str">
        <x:v>The flyer lists four courses, but a Top Gear 2 flyer suggests only two; little survives beyond flyers and trade-show photos.</x:v>
      </x:c>
      <x:c r="AG445" s="9" t="str">
        <x:v>Top Gear 2 (flyer)</x:v>
      </x:c>
      <x:c r="AH445" s="9" t="str">
        <x:v>No (possibly never produced; not dumped)</x:v>
      </x:c>
      <x:c r="AI445" s="9" t="str">
        <x:v>Lost</x:v>
      </x:c>
      <x:c r="AJ445" s="9" t="str">
        <x:v>At home: Possibly never produced; not dumped.</x:v>
      </x:c>
      <x:c r="AK445" s="9" t="str">
        <x:v>Prototype status uncertain. KLOV: https://arcade-museum.com/Videogame/top-gear</x:v>
      </x:c>
      <x:c r="AL445" s="10"/>
      <x:c r="AM445" s="10"/>
      <x:c r="AN445" s="10"/>
      <x:c r="AO445" s="9"/>
      <x:c r="AP445" s="9"/>
      <x:c r="AQ445" s="9"/>
      <x:c r="AR445" s="9"/>
      <x:c r="AS445" s="9"/>
      <x:c r="AT445" s="9"/>
      <x:c r="AU445" s="9"/>
      <x:c r="AV445" s="9"/>
      <x:c r="AW445" s="9"/>
      <x:c r="AX445" s="9"/>
      <x:c r="AY445" s="9"/>
      <x:c r="AZ445" s="9"/>
      <x:c r="BA445" s="11" t="str">
        <x:f>HYPERLINK("https://www.mobygames.com/search/?q=Top+Gear","MobyGames")</x:f>
        <x:v>MobyGames</x:v>
      </x:c>
      <x:c r="BB445" s="9"/>
      <x:c r="BC445" s="9"/>
      <x:c r="BD445" s="9"/>
      <x:c r="BE445" s="9"/>
      <x:c r="BF445" s="11" t="str">
        <x:f>HYPERLINK("https://backloggd.com/search/games/Top%20Gear/","Backloggd")</x:f>
        <x:v>Backloggd</x:v>
      </x:c>
      <x:c r="BG445" s="9"/>
      <x:c r="BH445" s="11" t="str">
        <x:f>HYPERLINK("https://arcade-museum.com/Videogame/top-gear","KLOV")</x:f>
        <x:v>KLOV</x:v>
      </x:c>
      <x:c r="BI445" s="12" t="str">
        <x:v>No</x:v>
      </x:c>
      <x:c r="BJ445" s="12" t="str"/>
      <x:c r="BK445" s="12" t="str">
        <x:v>No</x:v>
      </x:c>
      <x:c r="BL445" s="12" t="str"/>
      <x:c r="BM445" s="12" t="str"/>
      <x:c r="BN445" s="12" t="str"/>
      <x:c r="BO445" s="12" t="str"/>
      <x:c r="BP445" s="12" t="str"/>
      <x:c r="BQ445" s="12" t="str"/>
    </x:row>
    <x:row r="446">
      <x:c r="A446" s="9" t="str">
        <x:v>laserdisc-50</x:v>
      </x:c>
      <x:c r="B446" s="9" t="str">
        <x:v>captain-zapp</x:v>
      </x:c>
      <x:c r="C446" s="9" t="str">
        <x:v>Laserdisc arcade</x:v>
      </x:c>
      <x:c r="D446" s="9" t="str">
        <x:v>Captain Zapp</x:v>
      </x:c>
      <x:c r="E446" s="9" t="str"/>
      <x:c r="F446" s="9" t="str">
        <x:v>Universal</x:v>
      </x:c>
      <x:c r="G446" s="9" t="str">
        <x:v>Universal (unreleased?)</x:v>
      </x:c>
      <x:c r="H446" s="9" t="n">
        <x:v>1985</x:v>
      </x:c>
      <x:c r="I446" s="9" t="str">
        <x:v>No</x:v>
      </x:c>
      <x:c r="J446" s="9" t="str">
        <x:v>No</x:v>
      </x:c>
      <x:c r="K446" s="9" t="str">
        <x:v>No</x:v>
      </x:c>
      <x:c r="L446" s="9" t="str">
        <x:v>No</x:v>
      </x:c>
      <x:c r="M446" s="9" t="str">
        <x:v>Action</x:v>
      </x:c>
      <x:c r="N446" s="9" t="str">
        <x:v>Animated</x:v>
      </x:c>
      <x:c r="O446" s="9" t="n">
        <x:v>10</x:v>
      </x:c>
      <x:c r="P446" s="9" t="str">
        <x:v>Prototype</x:v>
      </x:c>
      <x:c r="Q446" s="9" t="str">
        <x:v>NOT obtainable</x:v>
      </x:c>
      <x:c r="R446" s="9" t="str">
        <x:v>Original animation (verify); appears very similar to Universal's Super Don Quix-ote</x:v>
      </x:c>
      <x:c r="S446" s="9" t="str">
        <x:v>None</x:v>
      </x:c>
      <x:c r="T446" s="9" t="str">
        <x:v>—</x:v>
      </x:c>
      <x:c r="U446" s="9" t="n">
        <x:v>1</x:v>
      </x:c>
      <x:c r="V446" s="9" t="str">
        <x:v>No</x:v>
      </x:c>
      <x:c r="W446" s="9" t="str">
        <x:v>Unknown — verify</x:v>
      </x:c>
      <x:c r="X446" s="9" t="str">
        <x:v>Low</x:v>
      </x:c>
      <x:c r="Y446" s="9" t="str"/>
      <x:c r="Z446" s="9" t="str">
        <x:v>Unknown — verify</x:v>
      </x:c>
      <x:c r="AA446" s="9" t="str">
        <x:v>A near-unknown Universal laserdisc game that looks like a sci-fi reskin of Super Don Quix-ote.</x:v>
      </x:c>
      <x:c r="AB446" s="9" t="str">
        <x:v>None known</x:v>
      </x:c>
      <x:c r="AC446" s="9" t="str">
        <x:v>Unknown — verify</x:v>
      </x:c>
      <x:c r="AD446" s="9" t="str">
        <x:v>Unknown — verify</x:v>
      </x:c>
      <x:c r="AE446" s="9" t="str">
        <x:v>Unknown — verify</x:v>
      </x:c>
      <x:c r="AF446" s="9" t="str">
        <x:v>unMAMEd lists it as a possible Universal prototype that looks very much like Super Don Quix-ote.</x:v>
      </x:c>
      <x:c r="AG446" s="9" t="str">
        <x:v>Unknown — verify</x:v>
      </x:c>
      <x:c r="AH446" s="9" t="str">
        <x:v>No (prototype?; not dumped)</x:v>
      </x:c>
      <x:c r="AI446" s="9" t="str">
        <x:v>Lost</x:v>
      </x:c>
      <x:c r="AJ446" s="9" t="str">
        <x:v>At home: Prototype?; not dumped.</x:v>
      </x:c>
      <x:c r="AK446" s="9" t="str">
        <x:v>Not the Mastertronic C64 game Captain Zapp on MobyGames. Almost no documentation (verify all fields).</x:v>
      </x:c>
      <x:c r="AL446" s="10"/>
      <x:c r="AM446" s="10"/>
      <x:c r="AN446" s="10"/>
      <x:c r="AO446" s="9"/>
      <x:c r="AP446" s="9"/>
      <x:c r="AQ446" s="9"/>
      <x:c r="AR446" s="9"/>
      <x:c r="AS446" s="9"/>
      <x:c r="AT446" s="9"/>
      <x:c r="AU446" s="9"/>
      <x:c r="AV446" s="9"/>
      <x:c r="AW446" s="9"/>
      <x:c r="AX446" s="9"/>
      <x:c r="AY446" s="9"/>
      <x:c r="AZ446" s="9"/>
      <x:c r="BA446" s="11" t="str">
        <x:f>HYPERLINK("https://www.mobygames.com/search/?q=Captain+Zapp","MobyGames")</x:f>
        <x:v>MobyGames</x:v>
      </x:c>
      <x:c r="BB446" s="9"/>
      <x:c r="BC446" s="9"/>
      <x:c r="BD446" s="9"/>
      <x:c r="BE446" s="9"/>
      <x:c r="BF446" s="11" t="str">
        <x:f>HYPERLINK("https://backloggd.com/search/games/Captain%20Zapp/","Backloggd")</x:f>
        <x:v>Backloggd</x:v>
      </x:c>
      <x:c r="BG446" s="9"/>
      <x:c r="BH446" s="9"/>
      <x:c r="BI446" s="12" t="str">
        <x:v>No</x:v>
      </x:c>
      <x:c r="BJ446" s="12" t="str"/>
      <x:c r="BK446" s="12" t="str">
        <x:v>No</x:v>
      </x:c>
      <x:c r="BL446" s="12" t="str"/>
      <x:c r="BM446" s="12" t="str"/>
      <x:c r="BN446" s="12" t="str"/>
      <x:c r="BO446" s="12" t="str"/>
      <x:c r="BP446" s="12" t="str"/>
      <x:c r="BQ446" s="12" t="str"/>
    </x:row>
    <x:row r="447">
      <x:c r="A447" s="9" t="str">
        <x:v>laserdisc-51</x:v>
      </x:c>
      <x:c r="B447" s="9" t="str">
        <x:v>the-spectre-files-deathstalker</x:v>
      </x:c>
      <x:c r="C447" s="9" t="str">
        <x:v>Laserdisc arcade</x:v>
      </x:c>
      <x:c r="D447" s="9" t="str">
        <x:v>The Spectre Files: Deathstalker</x:v>
      </x:c>
      <x:c r="E447" s="9" t="str"/>
      <x:c r="F447" s="9" t="str">
        <x:v>Midway (original, Brian Colin); completed by Galloping Ghost Productions / Game Refuge</x:v>
      </x:c>
      <x:c r="G447" s="9" t="str">
        <x:v>Midway (unreleased); Galloping Ghost Productions (2018 cabinets)</x:v>
      </x:c>
      <x:c r="H447" s="9" t="n">
        <x:v>1985</x:v>
      </x:c>
      <x:c r="I447" s="9" t="str">
        <x:v>Yes</x:v>
      </x:c>
      <x:c r="J447" s="9" t="str">
        <x:v>No</x:v>
      </x:c>
      <x:c r="K447" s="9" t="str">
        <x:v>No</x:v>
      </x:c>
      <x:c r="L447" s="9" t="str">
        <x:v>No</x:v>
      </x:c>
      <x:c r="M447" s="9" t="str">
        <x:v>Choose-your-own-adventure FMV</x:v>
      </x:c>
      <x:c r="N447" s="9" t="str">
        <x:v>Live-action</x:v>
      </x:c>
      <x:c r="O447" s="9" t="n">
        <x:v>10</x:v>
      </x:c>
      <x:c r="P447" s="9" t="str">
        <x:v>Prototype</x:v>
      </x:c>
      <x:c r="Q447" s="9" t="str">
        <x:v>Released post-cancellation</x:v>
      </x:c>
      <x:c r="R447" s="9" t="str">
        <x:v>Original live-action shoot by Midway staff, adapting a scrapped interactive text adventure</x:v>
      </x:c>
      <x:c r="S447" s="9" t="str">
        <x:v>PC (Steam) (verify)</x:v>
      </x:c>
      <x:c r="T447" s="9" t="str">
        <x:v>Brian Colin (the hippie, the elevator zombie, the Flying Friar), Sharon Perry</x:v>
      </x:c>
      <x:c r="U447" s="9" t="n">
        <x:v>1</x:v>
      </x:c>
      <x:c r="V447" s="9" t="str">
        <x:v>No</x:v>
      </x:c>
      <x:c r="W447" s="9" t="str">
        <x:v>2018 cabinets run on a modern PC, not a laserdisc player</x:v>
      </x:c>
      <x:c r="X447" s="9" t="str">
        <x:v>Low</x:v>
      </x:c>
      <x:c r="Y447" s="9" t="str"/>
      <x:c r="Z447" s="9" t="str">
        <x:v>Unknown — verify</x:v>
      </x:c>
      <x:c r="AA447" s="9" t="str">
        <x:v>A lost Midway laserdisc horror adventure starring its own staff, finished three decades later by the designer of Rampage.</x:v>
      </x:c>
      <x:c r="AB447" s="9" t="str">
        <x:v>None known</x:v>
      </x:c>
      <x:c r="AC447" s="9" t="str">
        <x:v>Full-screen live-action FMV with branching choices</x:v>
      </x:c>
      <x:c r="AD447" s="9" t="str">
        <x:v>Unknown — verify</x:v>
      </x:c>
      <x:c r="AE447" s="9" t="str">
        <x:v>Branching; different choices lead to different encounters (hippie, psychopath, werewolf)</x:v>
      </x:c>
      <x:c r="AF447" s="9" t="str">
        <x:v>Brian Colin designed it in 1984–85 before Rampage; the footage resurfaced and was restored with Galloping Ghost from 2016.</x:v>
      </x:c>
      <x:c r="AG447" s="9" t="str">
        <x:v>Up to 50 modern cabinets (2018–19); PC release (verify)</x:v>
      </x:c>
      <x:c r="AH447" s="9" t="str">
        <x:v>Yes (Steam PC release per unMAMEd (verify); limited Galloping Ghost cabinets; original disc not emulated)</x:v>
      </x:c>
      <x:c r="AI447" s="9" t="str">
        <x:v>Arcade</x:v>
      </x:c>
      <x:c r="AJ447" s="9" t="str">
        <x:v>Cabinets reported at Galloping Ghost Arcade, Brookfield, IL (source 2018-08). Call ahead: floor lists change. At home: Steam PC release per unMAMEd (verify); limited Galloping Ghost cabinets; original disc not emulated.</x:v>
      </x:c>
      <x:c r="AK447" s="9" t="str">
        <x:v>Original year 1984/85 (verify). unMAMEd says it was completed by Game Refuge in 2017 and is on Steam; Arcade Heroes reports cabinets at a few locations at the end of 2018.</x:v>
      </x:c>
      <x:c r="AL447" s="10"/>
      <x:c r="AM447" s="10"/>
      <x:c r="AN447" s="10"/>
      <x:c r="AO447" s="9"/>
      <x:c r="AP447" s="9"/>
      <x:c r="AQ447" s="9"/>
      <x:c r="AR447" s="9"/>
      <x:c r="AS447" s="9"/>
      <x:c r="AT447" s="9"/>
      <x:c r="AU447" s="9"/>
      <x:c r="AV447" s="9"/>
      <x:c r="AW447" s="9"/>
      <x:c r="AX447" s="9"/>
      <x:c r="AY447" s="9"/>
      <x:c r="AZ447" s="9"/>
      <x:c r="BA447" s="11" t="str">
        <x:f>HYPERLINK("https://mobygames.com/game/152157","MobyGames")</x:f>
        <x:v>MobyGames</x:v>
      </x:c>
      <x:c r="BB447" s="9"/>
      <x:c r="BC447" s="9"/>
      <x:c r="BD447" s="9"/>
      <x:c r="BE447" s="9"/>
      <x:c r="BF447" s="11" t="str">
        <x:f>HYPERLINK("https://backloggd.com/search/games/The%20Spectre%20Files%3A%20Deathstalker/","Backloggd")</x:f>
        <x:v>Backloggd</x:v>
      </x:c>
      <x:c r="BG447" s="9"/>
      <x:c r="BH447" s="9"/>
      <x:c r="BI447" s="12" t="str">
        <x:v>No</x:v>
      </x:c>
      <x:c r="BJ447" s="12" t="str"/>
      <x:c r="BK447" s="12" t="str">
        <x:v>No</x:v>
      </x:c>
      <x:c r="BL447" s="12" t="str"/>
      <x:c r="BM447" s="12" t="str"/>
      <x:c r="BN447" s="12" t="str"/>
      <x:c r="BO447" s="12" t="str"/>
      <x:c r="BP447" s="12" t="str"/>
      <x:c r="BQ447" s="12" t="str"/>
    </x:row>
    <x:row r="448">
      <x:c r="A448" s="9" t="str">
        <x:v>laserdisc-52</x:v>
      </x:c>
      <x:c r="B448" s="9" t="str">
        <x:v>marbella-vice</x:v>
      </x:c>
      <x:c r="C448" s="9" t="str">
        <x:v>Laserdisc arcade</x:v>
      </x:c>
      <x:c r="D448" s="9" t="str">
        <x:v>Marbella Vice</x:v>
      </x:c>
      <x:c r="E448" s="9" t="str"/>
      <x:c r="F448" s="9" t="str">
        <x:v>Picmatic SA</x:v>
      </x:c>
      <x:c r="G448" s="9" t="str">
        <x:v>Picmatic SA (ES)</x:v>
      </x:c>
      <x:c r="H448" s="9" t="n">
        <x:v>1994</x:v>
      </x:c>
      <x:c r="I448" s="9" t="str">
        <x:v>No</x:v>
      </x:c>
      <x:c r="J448" s="9" t="str">
        <x:v>No</x:v>
      </x:c>
      <x:c r="K448" s="9" t="str">
        <x:v>Yes</x:v>
      </x:c>
      <x:c r="L448" s="9" t="str">
        <x:v>No</x:v>
      </x:c>
      <x:c r="M448" s="9" t="str">
        <x:v>Light-gun shooter</x:v>
      </x:c>
      <x:c r="N448" s="9" t="str">
        <x:v>Live-action</x:v>
      </x:c>
      <x:c r="O448" s="9" t="n">
        <x:v>10</x:v>
      </x:c>
      <x:c r="P448" s="9" t="str">
        <x:v>Laserdisc arcade</x:v>
      </x:c>
      <x:c r="Q448" s="9" t="str">
        <x:v>NOT obtainable</x:v>
      </x:c>
      <x:c r="R448" s="9" t="str">
        <x:v>Original live-action shoot in Marbella and Bilbao directed by Álex de la Iglesia</x:v>
      </x:c>
      <x:c r="S448" s="9" t="str">
        <x:v>None</x:v>
      </x:c>
      <x:c r="T448" s="9" t="str">
        <x:v>Santiago Segura, Álex Angulo; directed by Álex de la Iglesia</x:v>
      </x:c>
      <x:c r="U448" s="9" t="n">
        <x:v>1</x:v>
      </x:c>
      <x:c r="V448" s="9" t="str">
        <x:v>No</x:v>
      </x:c>
      <x:c r="W448" s="9" t="str">
        <x:v>Picmatic Magic Laser cabinet (Amiga 500 based, Amiga graphics overlay), light gun(s), Pioneer LDP-1600P</x:v>
      </x:c>
      <x:c r="X448" s="9" t="str">
        <x:v>Low</x:v>
      </x:c>
      <x:c r="Y448" s="9" t="str"/>
      <x:c r="Z448" s="9" t="str">
        <x:v>Unknown — verify</x:v>
      </x:c>
      <x:c r="AA448" s="9" t="str">
        <x:v>Before Torrente, Santiago Segura played a near-identical sleazy cop in this Álex de la Iglesia light-gun game.</x:v>
      </x:c>
      <x:c r="AB448" s="9" t="str">
        <x:v>None known</x:v>
      </x:c>
      <x:c r="AC448" s="9" t="str">
        <x:v>Full-screen live-action PAL video with Amiga graphics overlaid</x:v>
      </x:c>
      <x:c r="AD448" s="9" t="str">
        <x:v>Unknown — verify</x:v>
      </x:c>
      <x:c r="AE448" s="9" t="str">
        <x:v>Unknown — verify</x:v>
      </x:c>
      <x:c r="AF448" s="9" t="str">
        <x:v>Picmatic says Torrente's origins likely lie in Segura's corrupt cop here; a planned PC port was never released.</x:v>
      </x:c>
      <x:c r="AG448" s="9" t="str">
        <x:v>Magic Laser upright and Super Magic Laser (big monitor) cabinets</x:v>
      </x:c>
      <x:c r="AH448" s="9" t="str">
        <x:v>No (ROM preserved by Arcade Planet and the ARCADE association; no public emulation of the disc known (verify))</x:v>
      </x:c>
      <x:c r="AI448" s="9" t="str">
        <x:v>Lost</x:v>
      </x:c>
      <x:c r="AJ448" s="9" t="str">
        <x:v>At home: ROM preserved by Arcade Planet and the ARCADE association; no public emulation of the disc known (verify.</x:v>
      </x:c>
      <x:c r="AK448" s="9" t="str">
        <x:v>devuego lists 1993; Vandal says 1994. KLOV: https://www.arcade-museum.com/Videogame/marbella-vice</x:v>
      </x:c>
      <x:c r="AL448" s="10"/>
      <x:c r="AM448" s="10"/>
      <x:c r="AN448" s="10"/>
      <x:c r="AO448" s="9"/>
      <x:c r="AP448" s="9"/>
      <x:c r="AQ448" s="9"/>
      <x:c r="AR448" s="9"/>
      <x:c r="AS448" s="9"/>
      <x:c r="AT448" s="9"/>
      <x:c r="AU448" s="9"/>
      <x:c r="AV448" s="9"/>
      <x:c r="AW448" s="9"/>
      <x:c r="AX448" s="9"/>
      <x:c r="AY448" s="9"/>
      <x:c r="AZ448" s="9"/>
      <x:c r="BA448" s="11" t="str">
        <x:f>HYPERLINK("https://www.mobygames.com/search/?q=Marbella+Vice","MobyGames")</x:f>
        <x:v>MobyGames</x:v>
      </x:c>
      <x:c r="BB448" s="9"/>
      <x:c r="BC448" s="9"/>
      <x:c r="BD448" s="9"/>
      <x:c r="BE448" s="9"/>
      <x:c r="BF448" s="11" t="str">
        <x:f>HYPERLINK("https://backloggd.com/search/games/Marbella%20Vice/","Backloggd")</x:f>
        <x:v>Backloggd</x:v>
      </x:c>
      <x:c r="BG448" s="9"/>
      <x:c r="BH448" s="11" t="str">
        <x:f>HYPERLINK("https://www.arcade-museum.com/Videogame/marbella-vice","KLOV")</x:f>
        <x:v>KLOV</x:v>
      </x:c>
      <x:c r="BI448" s="12" t="str">
        <x:v>No</x:v>
      </x:c>
      <x:c r="BJ448" s="12" t="str"/>
      <x:c r="BK448" s="12" t="str">
        <x:v>No</x:v>
      </x:c>
      <x:c r="BL448" s="12" t="str"/>
      <x:c r="BM448" s="12" t="str"/>
      <x:c r="BN448" s="12" t="str"/>
      <x:c r="BO448" s="12" t="str"/>
      <x:c r="BP448" s="12" t="str"/>
      <x:c r="BQ448" s="12" t="str"/>
    </x:row>
    <x:row r="449">
      <x:c r="A449" s="9" t="str">
        <x:v>laserdisc-53</x:v>
      </x:c>
      <x:c r="B449" s="9" t="str">
        <x:v>zorton-brothers</x:v>
      </x:c>
      <x:c r="C449" s="9" t="str">
        <x:v>Laserdisc arcade</x:v>
      </x:c>
      <x:c r="D449" s="9" t="str">
        <x:v>Zorton Brothers</x:v>
      </x:c>
      <x:c r="E449" s="9" t="str">
        <x:v>Los Justicieros</x:v>
      </x:c>
      <x:c r="F449" s="9" t="str">
        <x:v>Picmatic SA</x:v>
      </x:c>
      <x:c r="G449" s="9" t="str">
        <x:v>Picmatic SA (ES)</x:v>
      </x:c>
      <x:c r="H449" s="9" t="n">
        <x:v>1993</x:v>
      </x:c>
      <x:c r="I449" s="9" t="str">
        <x:v>No</x:v>
      </x:c>
      <x:c r="J449" s="9" t="str">
        <x:v>No</x:v>
      </x:c>
      <x:c r="K449" s="9" t="str">
        <x:v>Yes</x:v>
      </x:c>
      <x:c r="L449" s="9" t="str">
        <x:v>No</x:v>
      </x:c>
      <x:c r="M449" s="9" t="str">
        <x:v>Light-gun shooter (western)</x:v>
      </x:c>
      <x:c r="N449" s="9" t="str">
        <x:v>Live-action</x:v>
      </x:c>
      <x:c r="O449" s="9" t="n">
        <x:v>10</x:v>
      </x:c>
      <x:c r="P449" s="9" t="str">
        <x:v>Laserdisc arcade</x:v>
      </x:c>
      <x:c r="Q449" s="9" t="str">
        <x:v>NOT obtainable</x:v>
      </x:c>
      <x:c r="R449" s="9" t="str">
        <x:v>Original live-action western shot near Almería, Spain; directed by Enrique Urbizu</x:v>
      </x:c>
      <x:c r="S449" s="9" t="str">
        <x:v>PC (as Los Justicieros, Dinamic Multimedia, 1996, with extra footage)</x:v>
      </x:c>
      <x:c r="T449" s="9" t="str">
        <x:v>Javier de Campos, Paco Calatrava; directed by Enrique Urbizu</x:v>
      </x:c>
      <x:c r="U449" s="9" t="n">
        <x:v>1</x:v>
      </x:c>
      <x:c r="V449" s="9" t="str">
        <x:v>No</x:v>
      </x:c>
      <x:c r="W449" s="9" t="str">
        <x:v>Picmatic Magic Laser cabinet (Amiga 500 based, same hardware family as ALG), light gun, Pioneer LDP-1600P</x:v>
      </x:c>
      <x:c r="X449" s="9" t="str">
        <x:v>Low</x:v>
      </x:c>
      <x:c r="Y449" s="9" t="str"/>
      <x:c r="Z449" s="9" t="str">
        <x:v>About 30 min</x:v>
      </x:c>
      <x:c r="AA449" s="9" t="str">
        <x:v>Spain's answer to Mad Dog McCree: a western light-gun game shot in the Almería deserts where spaghetti westerns were made.</x:v>
      </x:c>
      <x:c r="AB449" s="9" t="str">
        <x:v>None known</x:v>
      </x:c>
      <x:c r="AC449" s="9" t="str">
        <x:v>Full-screen live-action PAL video with Amiga graphics overlaid</x:v>
      </x:c>
      <x:c r="AD449" s="9" t="str">
        <x:v>Unknown — verify</x:v>
      </x:c>
      <x:c r="AE449" s="9" t="str">
        <x:v>Unknown — verify</x:v>
      </x:c>
      <x:c r="AF449" s="9" t="str">
        <x:v>The 1996 PC version adds story and footage not on the laserdisc.</x:v>
      </x:c>
      <x:c r="AG449" s="9" t="str">
        <x:v>Arcade laserdisc; PC CD-ROM version with extended story</x:v>
      </x:c>
      <x:c r="AH449" s="9" t="str">
        <x:v>Yes (PC version Los Justicieros runs today, e.g. via Lutris (verify); the arcade laserdisc is not dumped)</x:v>
      </x:c>
      <x:c r="AI449" s="9" t="str">
        <x:v>Lost</x:v>
      </x:c>
      <x:c r="AJ449" s="9" t="str">
        <x:v>At home: PC version Los Justicieros runs today, e.g. via Lutris (verify); the arcade laserdisc is not dumped.</x:v>
      </x:c>
      <x:c r="AK449" s="9" t="str">
        <x:v>unMAMEd: laserdisc needs to be dumped. DLP: https://dragons-lair-project.com/games/pages/zb.asp</x:v>
      </x:c>
      <x:c r="AL449" s="10"/>
      <x:c r="AM449" s="10"/>
      <x:c r="AN449" s="10"/>
      <x:c r="AO449" s="9"/>
      <x:c r="AP449" s="9"/>
      <x:c r="AQ449" s="9"/>
      <x:c r="AR449" s="9"/>
      <x:c r="AS449" s="9"/>
      <x:c r="AT449" s="9"/>
      <x:c r="AU449" s="9"/>
      <x:c r="AV449" s="9"/>
      <x:c r="AW449" s="9"/>
      <x:c r="AX449" s="9"/>
      <x:c r="AY449" s="9"/>
      <x:c r="AZ449" s="9" t="str">
        <x:v>2.0</x:v>
      </x:c>
      <x:c r="BA449" s="11" t="str">
        <x:f>HYPERLINK("https://www.mobygames.com/game/arcade/los-justicieros","MobyGames")</x:f>
        <x:v>MobyGames</x:v>
      </x:c>
      <x:c r="BB449" s="9"/>
      <x:c r="BC449" s="9"/>
      <x:c r="BD449" s="9"/>
      <x:c r="BE449" s="11" t="str">
        <x:f>HYPERLINK("https://en.wikipedia.org/wiki/Los_Justicieros_(video_game)","Wikipedia")</x:f>
        <x:v>Wikipedia</x:v>
      </x:c>
      <x:c r="BF449" s="11" t="str">
        <x:f>HYPERLINK("https://backloggd.com/search/games/Zorton%20Brothers/","Backloggd")</x:f>
        <x:v>Backloggd</x:v>
      </x:c>
      <x:c r="BG449" s="9"/>
      <x:c r="BH449" s="9"/>
      <x:c r="BI449" s="12" t="str">
        <x:v>No</x:v>
      </x:c>
      <x:c r="BJ449" s="12" t="str"/>
      <x:c r="BK449" s="12" t="str">
        <x:v>No</x:v>
      </x:c>
      <x:c r="BL449" s="12" t="str"/>
      <x:c r="BM449" s="12" t="str"/>
      <x:c r="BN449" s="12" t="str"/>
      <x:c r="BO449" s="12" t="str"/>
      <x:c r="BP449" s="12" t="str"/>
      <x:c r="BQ449" s="12" t="str"/>
    </x:row>
    <x:row r="450">
      <x:c r="A450" s="9" t="str">
        <x:v>laserdisc-54</x:v>
      </x:c>
      <x:c r="B450" s="9" t="str">
        <x:v>tierras-salvajes</x:v>
      </x:c>
      <x:c r="C450" s="9" t="str">
        <x:v>Laserdisc arcade</x:v>
      </x:c>
      <x:c r="D450" s="9" t="str">
        <x:v>Tierras Salvajes</x:v>
      </x:c>
      <x:c r="E450" s="9" t="str"/>
      <x:c r="F450" s="9" t="str">
        <x:v>Picmatic SA</x:v>
      </x:c>
      <x:c r="G450" s="9" t="str">
        <x:v>Picmatic SA (ES)</x:v>
      </x:c>
      <x:c r="H450" s="9" t="n">
        <x:v>1995</x:v>
      </x:c>
      <x:c r="I450" s="9" t="str">
        <x:v>No</x:v>
      </x:c>
      <x:c r="J450" s="9" t="str">
        <x:v>No</x:v>
      </x:c>
      <x:c r="K450" s="9" t="str">
        <x:v>Yes</x:v>
      </x:c>
      <x:c r="L450" s="9" t="str">
        <x:v>No</x:v>
      </x:c>
      <x:c r="M450" s="9" t="str">
        <x:v>Light-gun shooter (western)</x:v>
      </x:c>
      <x:c r="N450" s="9" t="str">
        <x:v>Live-action</x:v>
      </x:c>
      <x:c r="O450" s="9" t="n">
        <x:v>10</x:v>
      </x:c>
      <x:c r="P450" s="9" t="str">
        <x:v>Laserdisc arcade</x:v>
      </x:c>
      <x:c r="Q450" s="9" t="str">
        <x:v>NOT obtainable</x:v>
      </x:c>
      <x:c r="R450" s="9" t="str">
        <x:v>Original live-action western shoot (verify)</x:v>
      </x:c>
      <x:c r="S450" s="9" t="str">
        <x:v>None</x:v>
      </x:c>
      <x:c r="T450" s="9" t="str">
        <x:v>—</x:v>
      </x:c>
      <x:c r="U450" s="9" t="n">
        <x:v>1</x:v>
      </x:c>
      <x:c r="V450" s="9" t="str">
        <x:v>No</x:v>
      </x:c>
      <x:c r="W450" s="9" t="str">
        <x:v>Picmatic Magic Laser cabinet (Amiga 500 based), light gun, Pioneer LDP-1600P</x:v>
      </x:c>
      <x:c r="X450" s="9" t="str">
        <x:v>Low</x:v>
      </x:c>
      <x:c r="Y450" s="9" t="str"/>
      <x:c r="Z450" s="9" t="str">
        <x:v>Unknown — verify</x:v>
      </x:c>
      <x:c r="AA450" s="9" t="str">
        <x:v>Picmatic's third and rarest live-action light-gun game, another western after Zorton Brothers.</x:v>
      </x:c>
      <x:c r="AB450" s="9" t="str">
        <x:v>None known</x:v>
      </x:c>
      <x:c r="AC450" s="9" t="str">
        <x:v>Full-screen live-action video with Amiga graphics overlaid (verify)</x:v>
      </x:c>
      <x:c r="AD450" s="9" t="str">
        <x:v>Unknown — verify</x:v>
      </x:c>
      <x:c r="AE450" s="9" t="str">
        <x:v>Unknown — verify</x:v>
      </x:c>
      <x:c r="AF450" s="9" t="str"/>
      <x:c r="AG450" s="9" t="str">
        <x:v>Unknown — verify</x:v>
      </x:c>
      <x:c r="AH450" s="9" t="str">
        <x:v>No (not dumped or emulated)</x:v>
      </x:c>
      <x:c r="AI450" s="9" t="str">
        <x:v>Lost</x:v>
      </x:c>
      <x:c r="AJ450" s="9" t="str">
        <x:v>At home: Not dumped or emulated.</x:v>
      </x:c>
      <x:c r="AK450" s="9" t="str">
        <x:v>Year 1995 per devuego, '1995?' per unMAMEd (verify).</x:v>
      </x:c>
      <x:c r="AL450" s="10"/>
      <x:c r="AM450" s="10"/>
      <x:c r="AN450" s="10"/>
      <x:c r="AO450" s="9"/>
      <x:c r="AP450" s="9"/>
      <x:c r="AQ450" s="9"/>
      <x:c r="AR450" s="9"/>
      <x:c r="AS450" s="9"/>
      <x:c r="AT450" s="9"/>
      <x:c r="AU450" s="9"/>
      <x:c r="AV450" s="9"/>
      <x:c r="AW450" s="9"/>
      <x:c r="AX450" s="9"/>
      <x:c r="AY450" s="9"/>
      <x:c r="AZ450" s="9"/>
      <x:c r="BA450" s="11" t="str">
        <x:f>HYPERLINK("https://www.mobygames.com/search/?q=Tierras+Salvajes","MobyGames")</x:f>
        <x:v>MobyGames</x:v>
      </x:c>
      <x:c r="BB450" s="9"/>
      <x:c r="BC450" s="9"/>
      <x:c r="BD450" s="9"/>
      <x:c r="BE450" s="9"/>
      <x:c r="BF450" s="11" t="str">
        <x:f>HYPERLINK("https://backloggd.com/search/games/Tierras%20Salvajes/","Backloggd")</x:f>
        <x:v>Backloggd</x:v>
      </x:c>
      <x:c r="BG450" s="9"/>
      <x:c r="BH450" s="9"/>
      <x:c r="BI450" s="12" t="str">
        <x:v>No</x:v>
      </x:c>
      <x:c r="BJ450" s="12" t="str"/>
      <x:c r="BK450" s="12" t="str">
        <x:v>No</x:v>
      </x:c>
      <x:c r="BL450" s="12" t="str"/>
      <x:c r="BM450" s="12" t="str"/>
      <x:c r="BN450" s="12" t="str"/>
      <x:c r="BO450" s="12" t="str"/>
      <x:c r="BP450" s="12" t="str"/>
      <x:c r="BQ450" s="12" t="str"/>
    </x:row>
    <x:row r="451">
      <x:c r="A451" s="9" t="str">
        <x:v>laserdisc-55</x:v>
      </x:c>
      <x:c r="B451" s="9" t="str">
        <x:v>platoon</x:v>
      </x:c>
      <x:c r="C451" s="9" t="str">
        <x:v>Laserdisc arcade</x:v>
      </x:c>
      <x:c r="D451" s="9" t="str">
        <x:v>Platoon</x:v>
      </x:c>
      <x:c r="E451" s="9" t="str"/>
      <x:c r="F451" s="9" t="str">
        <x:v>Nova? (verify)</x:v>
      </x:c>
      <x:c r="G451" s="9" t="str">
        <x:v>Unknown — verify</x:v>
      </x:c>
      <x:c r="H451" s="9"/>
      <x:c r="I451" s="9" t="str">
        <x:v>No</x:v>
      </x:c>
      <x:c r="J451" s="9" t="str">
        <x:v>No</x:v>
      </x:c>
      <x:c r="K451" s="9" t="str">
        <x:v>No</x:v>
      </x:c>
      <x:c r="L451" s="9" t="str">
        <x:v>No</x:v>
      </x:c>
      <x:c r="M451" s="9" t="str">
        <x:v>Light-gun shooter? (verify)</x:v>
      </x:c>
      <x:c r="N451" s="9" t="str">
        <x:v>Unknown — verify</x:v>
      </x:c>
      <x:c r="O451" s="9" t="n">
        <x:v>10</x:v>
      </x:c>
      <x:c r="P451" s="9" t="str">
        <x:v>Laserdisc arcade</x:v>
      </x:c>
      <x:c r="Q451" s="9" t="str">
        <x:v>NOT obtainable</x:v>
      </x:c>
      <x:c r="R451" s="9" t="str">
        <x:v>Unknown — verify</x:v>
      </x:c>
      <x:c r="S451" s="9" t="str">
        <x:v>None</x:v>
      </x:c>
      <x:c r="T451" s="9" t="str">
        <x:v>—</x:v>
      </x:c>
      <x:c r="U451" s="9" t="n">
        <x:v>1</x:v>
      </x:c>
      <x:c r="V451" s="9" t="str">
        <x:v>No</x:v>
      </x:c>
      <x:c r="W451" s="9" t="str">
        <x:v>Unknown — verify</x:v>
      </x:c>
      <x:c r="X451" s="9" t="str">
        <x:v>HIGH</x:v>
      </x:c>
      <x:c r="Y451" s="9" t="str">
        <x:v>If it uses the 1986 Platoon film footage or music (verify)</x:v>
      </x:c>
      <x:c r="Z451" s="9" t="str">
        <x:v>Unknown — verify</x:v>
      </x:c>
      <x:c r="AA451" s="9" t="str">
        <x:v>A laserdisc Platoon arcade game that unMAMEd lists but nobody has documented.</x:v>
      </x:c>
      <x:c r="AB451" s="9" t="str">
        <x:v>None known</x:v>
      </x:c>
      <x:c r="AC451" s="9" t="str">
        <x:v>Unknown — verify</x:v>
      </x:c>
      <x:c r="AD451" s="9" t="str">
        <x:v>Unknown — verify</x:v>
      </x:c>
      <x:c r="AE451" s="9" t="str">
        <x:v>Unknown — verify</x:v>
      </x:c>
      <x:c r="AF451" s="9" t="str"/>
      <x:c r="AG451" s="9" t="str">
        <x:v>Unknown — verify</x:v>
      </x:c>
      <x:c r="AH451" s="9" t="str">
        <x:v>No (laserdisc not dumped)</x:v>
      </x:c>
      <x:c r="AI451" s="9" t="str">
        <x:v>Lost</x:v>
      </x:c>
      <x:c r="AJ451" s="9" t="str">
        <x:v>At home: Laserdisc not dumped.</x:v>
      </x:c>
      <x:c r="AK451" s="9" t="str">
        <x:v>unMAMEd lists it with manufacturer 'Nova?' and an unknown year: laserdisc needs to be dumped. Unrelated to the 1987 Ocean computer game. No further sources found; every field needs verification. fmv 10 assumed: every laserdisc game streams its video; nothing else is known (verify).</x:v>
      </x:c>
      <x:c r="AL451" s="10"/>
      <x:c r="AM451" s="10"/>
      <x:c r="AN451" s="10"/>
      <x:c r="AO451" s="9"/>
      <x:c r="AP451" s="9"/>
      <x:c r="AQ451" s="9"/>
      <x:c r="AR451" s="9"/>
      <x:c r="AS451" s="9"/>
      <x:c r="AT451" s="9"/>
      <x:c r="AU451" s="9"/>
      <x:c r="AV451" s="9"/>
      <x:c r="AW451" s="9"/>
      <x:c r="AX451" s="9"/>
      <x:c r="AY451" s="9"/>
      <x:c r="AZ451" s="9"/>
      <x:c r="BA451" s="11" t="str">
        <x:f>HYPERLINK("https://www.mobygames.com/search/?q=Platoon","MobyGames")</x:f>
        <x:v>MobyGames</x:v>
      </x:c>
      <x:c r="BB451" s="9"/>
      <x:c r="BC451" s="9"/>
      <x:c r="BD451" s="9"/>
      <x:c r="BE451" s="9"/>
      <x:c r="BF451" s="11" t="str">
        <x:f>HYPERLINK("https://backloggd.com/search/games/Platoon/","Backloggd")</x:f>
        <x:v>Backloggd</x:v>
      </x:c>
      <x:c r="BG451" s="9"/>
      <x:c r="BH451" s="9"/>
      <x:c r="BI451" s="12" t="str">
        <x:v>No</x:v>
      </x:c>
      <x:c r="BJ451" s="12" t="str"/>
      <x:c r="BK451" s="12" t="str">
        <x:v>No</x:v>
      </x:c>
      <x:c r="BL451" s="12" t="str"/>
      <x:c r="BM451" s="12" t="str"/>
      <x:c r="BN451" s="12" t="str"/>
      <x:c r="BO451" s="12" t="str"/>
      <x:c r="BP451" s="12" t="str"/>
      <x:c r="BQ451" s="12" t="str"/>
    </x:row>
    <x:row r="452">
      <x:c r="A452" s="9" t="str">
        <x:v>laseractive-1</x:v>
      </x:c>
      <x:c r="B452" s="9" t="str">
        <x:v>road-blaster</x:v>
      </x:c>
      <x:c r="C452" s="9" t="str">
        <x:v>Pioneer LaserActive</x:v>
      </x:c>
      <x:c r="D452" s="9" t="str">
        <x:v>Road Prosecutor</x:v>
      </x:c>
      <x:c r="E452" s="9" t="str">
        <x:v>Road Blaster (JP)</x:v>
      </x:c>
      <x:c r="F452" s="9" t="str">
        <x:v>Data East (original arcade, animation by Toei Animation); LaserActive conversion Pioneer LDC (verify)</x:v>
      </x:c>
      <x:c r="G452" s="9" t="str">
        <x:v>Pioneer LDC (JP, NA)</x:v>
      </x:c>
      <x:c r="H452" s="9" t="n">
        <x:v>1995</x:v>
      </x:c>
      <x:c r="I452" s="9" t="str">
        <x:v>Yes</x:v>
      </x:c>
      <x:c r="J452" s="9" t="str">
        <x:v>Yes</x:v>
      </x:c>
      <x:c r="K452" s="9" t="str">
        <x:v>No</x:v>
      </x:c>
      <x:c r="L452" s="9" t="str">
        <x:v>No</x:v>
      </x:c>
      <x:c r="M452" s="9" t="str">
        <x:v>Interactive movie / reflex driving</x:v>
      </x:c>
      <x:c r="N452" s="9" t="str">
        <x:v>Animated</x:v>
      </x:c>
      <x:c r="O452" s="9" t="n">
        <x:v>10</x:v>
      </x:c>
      <x:c r="P452" s="9" t="str">
        <x:v>Laserdisc port</x:v>
      </x:c>
      <x:c r="Q452" s="9" t="str">
        <x:v>Released</x:v>
      </x:c>
      <x:c r="R452" s="9" t="str">
        <x:v>Data East arcade laserdisc game Road Blaster (1985)</x:v>
      </x:c>
      <x:c r="S452" s="9" t="str">
        <x:v>Arcade, MSX, Sharp X1 (VHD), X68000, Sega CD (Road Avenger / Road Blaster FX), Saturn &amp; PlayStation (JP, with Thunder Storm), Windows, iOS; 3DO prototype Turbo Blaster</x:v>
      </x:c>
      <x:c r="T452" s="9" t="str">
        <x:v>Directed by Yoshihisa Kishimoto; animation directed by Yoshinobu Inano</x:v>
      </x:c>
      <x:c r="U452" s="9" t="n">
        <x:v>1</x:v>
      </x:c>
      <x:c r="V452" s="9" t="str">
        <x:v>No</x:v>
      </x:c>
      <x:c r="W452" s="9" t="str">
        <x:v>Pioneer LaserActive CLD-A100 + Sega PAC (PAC-S1/S10) required</x:v>
      </x:c>
      <x:c r="X452" s="9" t="str">
        <x:v>Low–Med</x:v>
      </x:c>
      <x:c r="Y452" s="9" t="str">
        <x:v>Commercially re-released anime footage and soundtrack; low claim history for this LD, but the Sega CD/modern versions share assets (verify)</x:v>
      </x:c>
      <x:c r="Z452" s="9" t="str">
        <x:v>Under 1 hr (9 stages, ~30 min of animation)</x:v>
      </x:c>
      <x:c r="AA452" s="9" t="str">
        <x:v>The arcade Mad Max-style anime revenge chase straight off the laserdisc, sharper than the Sega CD's Road Avenger.</x:v>
      </x:c>
      <x:c r="AB452" s="9" t="str">
        <x:v>None known</x:v>
      </x:c>
      <x:c r="AC452" s="9" t="str">
        <x:v>Full-screen analog laserdisc video at 30 fps with Sega PAC overlays for prompts; the closest home version to the arcade</x:v>
      </x:c>
      <x:c r="AD452" s="9" t="str">
        <x:v>Reflex QTE driving; graded on reaction time, unforgiving later stages</x:v>
      </x:c>
      <x:c r="AE452" s="9" t="str">
        <x:v>Single ending; failure death scenes</x:v>
      </x:c>
      <x:c r="AF452" s="9" t="str">
        <x:v>About 15,000 hand-painted cels went into its 30+ minutes of animation. Retitled Road Prosecutor in NA, likely to avoid confusion with Atari's RoadBlasters.</x:v>
      </x:c>
      <x:c r="AG452" s="9" t="str">
        <x:v>JP Road Blaster PEASJ1033 (25 Jan 1995); NA Road Prosecutor PEASU1033 (1995)</x:v>
      </x:c>
      <x:c r="AH452" s="9" t="str">
        <x:v>No (the LaserActive version itself); the game was sold on Windows (2009/2011) and iOS (2011, likely delisted — verify)</x:v>
      </x:c>
      <x:c r="AI452" s="9" t="str">
        <x:v>Expensive</x:v>
      </x:c>
      <x:c r="AJ452" s="9" t="str">
        <x:v>Original hardware: CLD-A100 (or NEC PCE-LD1) with the Sega PAC (PAC-S1 JP / PAC-S10 NA). Emulation: ares v146 (Aug 2025) runs Mega LD and v147 (Dec 2025) runs LD-ROM², from Domesday Duplicator captures (.mmi, about 30 GB per side); this title per the ares compatibility list, checked 2026-10-24: JP Road Blaster disc dumped, Completable Unverified; US Road Prosecutor disc undumped. The JP disc's play is the same footage. Easier versions: Sega CD Road Avenger (English), Saturn/PS1 Thunder Storm &amp; Road Blaster (JP).</x:v>
      </x:c>
      <x:c r="AK452" s="9" t="str">
        <x:v>Wikipedia's catalog lists Japanese and English audio on both the JP and NA discs, so it is playable in English. NA disc is a 1995 late-life release and scarce (verify price). Never call this 'Road Avenger' — that's the Sega CD title.</x:v>
      </x:c>
      <x:c r="AL452" s="10" t="n">
        <x:v>492.76</x:v>
      </x:c>
      <x:c r="AM452" s="10" t="n">
        <x:v>1500</x:v>
      </x:c>
      <x:c r="AN452" s="10" t="n">
        <x:v>3000</x:v>
      </x:c>
      <x:c r="AO452" s="9" t="str">
        <x:v>2026-10-24</x:v>
      </x:c>
      <x:c r="AP452" s="11" t="str">
        <x:f>HYPERLINK("https://www.pricecharting.com/game/laseractive/road-prosecutor","PriceCharting")</x:f>
        <x:v>PriceCharting</x:v>
      </x:c>
      <x:c r="AQ452" s="9"/>
      <x:c r="AR452" s="9"/>
      <x:c r="AS452" s="9"/>
      <x:c r="AT452" s="9"/>
      <x:c r="AU452" s="9"/>
      <x:c r="AV452" s="9"/>
      <x:c r="AW452" s="9"/>
      <x:c r="AX452" s="9"/>
      <x:c r="AY452" s="9"/>
      <x:c r="AZ452" s="9"/>
      <x:c r="BA452" s="11" t="str">
        <x:f>HYPERLINK("https://www.mobygames.com/search/?q=Road+Prosecutor","MobyGames")</x:f>
        <x:v>MobyGames</x:v>
      </x:c>
      <x:c r="BB452" s="9"/>
      <x:c r="BC452" s="9"/>
      <x:c r="BD452" s="9"/>
      <x:c r="BE452" s="11" t="str">
        <x:f>HYPERLINK("https://en.wikipedia.org/wiki/Road_Blaster","Wikipedia")</x:f>
        <x:v>Wikipedia</x:v>
      </x:c>
      <x:c r="BF452" s="11" t="str">
        <x:f>HYPERLINK("https://backloggd.com/search/games/Road%20Prosecutor/","Backloggd")</x:f>
        <x:v>Backloggd</x:v>
      </x:c>
      <x:c r="BG452" s="9"/>
      <x:c r="BH452" s="9"/>
      <x:c r="BI452" s="12" t="str">
        <x:v>No</x:v>
      </x:c>
      <x:c r="BJ452" s="12" t="str"/>
      <x:c r="BK452" s="12" t="str">
        <x:v>No</x:v>
      </x:c>
      <x:c r="BL452" s="12" t="str"/>
      <x:c r="BM452" s="12" t="str"/>
      <x:c r="BN452" s="12" t="str"/>
      <x:c r="BO452" s="12" t="str"/>
      <x:c r="BP452" s="12" t="str"/>
      <x:c r="BQ452" s="12" t="str"/>
    </x:row>
    <x:row r="453">
      <x:c r="A453" s="9" t="str">
        <x:v>laseractive-2</x:v>
      </x:c>
      <x:c r="B453" s="9" t="str">
        <x:v>time-gal</x:v>
      </x:c>
      <x:c r="C453" s="9" t="str">
        <x:v>Pioneer LaserActive</x:v>
      </x:c>
      <x:c r="D453" s="9" t="str">
        <x:v>Time Gal</x:v>
      </x:c>
      <x:c r="E453" s="9" t="str"/>
      <x:c r="F453" s="9" t="str">
        <x:v>Taito / Toei Animation (original); LaserActive version High Tech Laboratory Japan</x:v>
      </x:c>
      <x:c r="G453" s="9" t="str">
        <x:v>Pioneer LDC / Taito (JP)</x:v>
      </x:c>
      <x:c r="H453" s="9" t="n">
        <x:v>1995</x:v>
      </x:c>
      <x:c r="I453" s="9" t="str">
        <x:v>No</x:v>
      </x:c>
      <x:c r="J453" s="9" t="str">
        <x:v>Yes</x:v>
      </x:c>
      <x:c r="K453" s="9" t="str">
        <x:v>No</x:v>
      </x:c>
      <x:c r="L453" s="9" t="str">
        <x:v>No</x:v>
      </x:c>
      <x:c r="M453" s="9" t="str">
        <x:v>Interactive movie / QTE</x:v>
      </x:c>
      <x:c r="N453" s="9" t="str">
        <x:v>Animated</x:v>
      </x:c>
      <x:c r="O453" s="9" t="n">
        <x:v>10</x:v>
      </x:c>
      <x:c r="P453" s="9" t="str">
        <x:v>Laserdisc port</x:v>
      </x:c>
      <x:c r="Q453" s="9" t="str">
        <x:v>Released</x:v>
      </x:c>
      <x:c r="R453" s="9" t="str">
        <x:v>Taito arcade laserdisc game (1985)</x:v>
      </x:c>
      <x:c r="S453" s="9" t="str">
        <x:v>Arcade, MSX (VHD), Sega CD, Macintosh (JP), PlayStation (JP, with Ninja Hayate), Saturn (JP), iOS/Android (JP), Switch (Taito LD Game Collection, 2023; standalone 2025), Windows (Steam, 2025)</x:v>
      </x:c>
      <x:c r="T453" s="9" t="str">
        <x:v>Reika voiced by Yuriko Yamamoto (ad-libbed her lines)</x:v>
      </x:c>
      <x:c r="U453" s="9" t="n">
        <x:v>1</x:v>
      </x:c>
      <x:c r="V453" s="9" t="str">
        <x:v>No</x:v>
      </x:c>
      <x:c r="W453" s="9" t="str">
        <x:v>Pioneer LaserActive CLD-A100 + Sega PAC (PAC-S1/S10) required</x:v>
      </x:c>
      <x:c r="X453" s="9" t="str">
        <x:v>Low–Med</x:v>
      </x:c>
      <x:c r="Y453" s="9" t="str">
        <x:v>Taito/Toei re-released the footage commercially in 2023–25; claims possible from those releases (verify)</x:v>
      </x:c>
      <x:c r="Z453" s="9" t="str">
        <x:v>~30–45 min</x:v>
      </x:c>
      <x:c r="AA453" s="9" t="str">
        <x:v>The rarest, sharpest home Time Gal: a time-hopping anime heroine and her cartoon deaths in laserdisc quality.</x:v>
      </x:c>
      <x:c r="AB453" s="9" t="str">
        <x:v>None known</x:v>
      </x:c>
      <x:c r="AC453" s="9" t="str">
        <x:v>Full-screen analog laserdisc video at 30 fps; much clearer than the washed-out Sega CD version</x:v>
      </x:c>
      <x:c r="AD453" s="9" t="str">
        <x:v>Challenging but fair QTE; Sega Does found it easier than the Sega CD version</x:v>
      </x:c>
      <x:c r="AE453" s="9" t="str">
        <x:v>Single ending; time-stop moments offer three choices</x:v>
      </x:c>
      <x:c r="AF453" s="9" t="str">
        <x:v>Reika predates Samus Aran as a female game lead; her design echoes Lum and Dirty Pair's Yuri. MSX Magazine said it needed six times the cels per minute of TV anime.</x:v>
      </x:c>
      <x:c r="AG453" s="9" t="str">
        <x:v>JP only, PEASJ5039 (25 Mar 1995; infobox says 29 Mar)</x:v>
      </x:c>
      <x:c r="AH453" s="9" t="str">
        <x:v>Yes (Switch Taito LD Game Collection JP 2023, Switch/Steam standalone Apr 2025 — those are new HD masters, not the Mega LD version)</x:v>
      </x:c>
      <x:c r="AI453" s="9" t="str">
        <x:v>Expensive</x:v>
      </x:c>
      <x:c r="AJ453" s="9" t="str">
        <x:v>Original hardware: CLD-A100 (or NEC PCE-LD1) with the Sega PAC (PAC-S1 JP / PAC-S10 NA). Emulation: ares v146 (Aug 2025) runs Mega LD and v147 (Dec 2025) runs LD-ROM², from Domesday Duplicator captures (.mmi, about 30 GB per side); this title per the ares compatibility list, checked 2026-10-24: JP disc dumped, Completable (the only LaserActive title ares marks fully Completable). Easier versions: Sega CD Time Gal (English) and later re-releases (verify current storefronts).</x:v>
      </x:c>
      <x:c r="AK453" s="9" t="str">
        <x:v>Japanese-only disc (Japanese audio/text, no English); the time-stop choices are in Japanese. The English version is the Sega CD one, or the 2025 Steam release (verify English option). Among the rarest and most expensive LaserActive discs.</x:v>
      </x:c>
      <x:c r="AL453" s="10" t="n">
        <x:v>1545.45</x:v>
      </x:c>
      <x:c r="AM453" s="10" t="n">
        <x:v>1704.08</x:v>
      </x:c>
      <x:c r="AN453" s="10" t="n">
        <x:v>3408</x:v>
      </x:c>
      <x:c r="AO453" s="9" t="str">
        <x:v>2026-10-24</x:v>
      </x:c>
      <x:c r="AP453" s="11" t="str">
        <x:f>HYPERLINK("https://www.pricecharting.com/game/jp-laseractive/time-gal","PriceCharting")</x:f>
        <x:v>PriceCharting</x:v>
      </x:c>
      <x:c r="AQ453" s="9"/>
      <x:c r="AR453" s="9"/>
      <x:c r="AS453" s="9"/>
      <x:c r="AT453" s="9"/>
      <x:c r="AU453" s="9"/>
      <x:c r="AV453" s="9"/>
      <x:c r="AW453" s="9"/>
      <x:c r="AX453" s="9"/>
      <x:c r="AY453" s="9"/>
      <x:c r="AZ453" s="9"/>
      <x:c r="BA453" s="11" t="str">
        <x:f>HYPERLINK("https://www.mobygames.com/search/?q=Time+Gal","MobyGames")</x:f>
        <x:v>MobyGames</x:v>
      </x:c>
      <x:c r="BB453" s="9"/>
      <x:c r="BC453" s="9"/>
      <x:c r="BD453" s="9"/>
      <x:c r="BE453" s="11" t="str">
        <x:f>HYPERLINK("https://en.wikipedia.org/wiki/Time_Gal","Wikipedia")</x:f>
        <x:v>Wikipedia</x:v>
      </x:c>
      <x:c r="BF453" s="11" t="str">
        <x:f>HYPERLINK("https://backloggd.com/search/games/Time%20Gal/","Backloggd")</x:f>
        <x:v>Backloggd</x:v>
      </x:c>
      <x:c r="BG453" s="9"/>
      <x:c r="BH453" s="9"/>
      <x:c r="BI453" s="12" t="str">
        <x:v>No</x:v>
      </x:c>
      <x:c r="BJ453" s="12" t="str"/>
      <x:c r="BK453" s="12" t="str">
        <x:v>No</x:v>
      </x:c>
      <x:c r="BL453" s="12" t="str"/>
      <x:c r="BM453" s="12" t="str"/>
      <x:c r="BN453" s="12" t="str"/>
      <x:c r="BO453" s="12" t="str"/>
      <x:c r="BP453" s="12" t="str"/>
      <x:c r="BQ453" s="12" t="str"/>
    </x:row>
    <x:row r="454">
      <x:c r="A454" s="9" t="str">
        <x:v>laseractive-3</x:v>
      </x:c>
      <x:c r="B454" s="9" t="str">
        <x:v>pyramid-patrol</x:v>
      </x:c>
      <x:c r="C454" s="9" t="str">
        <x:v>Pioneer LaserActive</x:v>
      </x:c>
      <x:c r="D454" s="9" t="str">
        <x:v>Pyramid Patrol</x:v>
      </x:c>
      <x:c r="E454" s="9" t="str"/>
      <x:c r="F454" s="9" t="str">
        <x:v>Taito with High Tech Laboratory Japan (Riverhill Soft also credited on Giant Bomb — verify)</x:v>
      </x:c>
      <x:c r="G454" s="9" t="str">
        <x:v>Pioneer LDC / Taito</x:v>
      </x:c>
      <x:c r="H454" s="9" t="n">
        <x:v>1993</x:v>
      </x:c>
      <x:c r="I454" s="9" t="str">
        <x:v>Yes</x:v>
      </x:c>
      <x:c r="J454" s="9" t="str">
        <x:v>Yes</x:v>
      </x:c>
      <x:c r="K454" s="9" t="str">
        <x:v>No</x:v>
      </x:c>
      <x:c r="L454" s="9" t="str">
        <x:v>No</x:v>
      </x:c>
      <x:c r="M454" s="9" t="str">
        <x:v>Rail shooter</x:v>
      </x:c>
      <x:c r="N454" s="9" t="str">
        <x:v>Pre-rendered CG</x:v>
      </x:c>
      <x:c r="O454" s="9" t="n">
        <x:v>9</x:v>
      </x:c>
      <x:c r="P454" s="9" t="str">
        <x:v>Pre-rendered CG</x:v>
      </x:c>
      <x:c r="Q454" s="9" t="str">
        <x:v>Released</x:v>
      </x:c>
      <x:c r="R454" s="9" t="str">
        <x:v>Original production (LaserActive launch title)</x:v>
      </x:c>
      <x:c r="S454" s="9" t="str">
        <x:v>3DO (JP 1995, reworked as Pyramid Intruder)</x:v>
      </x:c>
      <x:c r="T454" s="9" t="str">
        <x:v>—</x:v>
      </x:c>
      <x:c r="U454" s="9" t="n">
        <x:v>1</x:v>
      </x:c>
      <x:c r="V454" s="9" t="str">
        <x:v>No</x:v>
      </x:c>
      <x:c r="W454" s="9" t="str">
        <x:v>Pioneer LaserActive CLD-A100 + Sega PAC (PAC-S1/S10) required</x:v>
      </x:c>
      <x:c r="X454" s="9" t="str">
        <x:v>Low</x:v>
      </x:c>
      <x:c r="Y454" s="9" t="str"/>
      <x:c r="Z454" s="9" t="str">
        <x:v>Under 1 hr (verify)</x:v>
      </x:c>
      <x:c r="AA454" s="9" t="str">
        <x:v>A LaserActive launch-day rail shooter: crosshairs over glossy 1993 CG flights through a sci-fi pyramid.</x:v>
      </x:c>
      <x:c r="AB454" s="9" t="str">
        <x:v>None known</x:v>
      </x:c>
      <x:c r="AC454" s="9" t="str">
        <x:v>Full-screen pre-rendered CG laserdisc video with Sega PAC sprite enemies; bosses are part of the video</x:v>
      </x:c>
      <x:c r="AD454" s="9" t="str">
        <x:v>Sluggish crosshair; later stages swarm from all sides (Sega Does: unfairly hard)</x:v>
      </x:c>
      <x:c r="AE454" s="9" t="str">
        <x:v>Single ending (verify)</x:v>
      </x:c>
      <x:c r="AF454" s="9" t="str">
        <x:v>A Japan and NA launch title (20 Aug 1993 JP). The 3DO remake Pyramid Intruder switched to a third-person ship view with reworked FMV.</x:v>
      </x:c>
      <x:c r="AG454" s="9" t="str">
        <x:v>JP PEASJ5001, NA PEASU5001</x:v>
      </x:c>
      <x:c r="AH454" s="9" t="str">
        <x:v>No</x:v>
      </x:c>
      <x:c r="AI454" s="9" t="str">
        <x:v>Add-on required</x:v>
      </x:c>
      <x:c r="AJ454" s="9" t="str">
        <x:v>Original hardware: CLD-A100 (or NEC PCE-LD1) with the Sega PAC (PAC-S1 JP / PAC-S10 NA). Emulation: ares v146 (Aug 2025) runs Mega LD and v147 (Dec 2025) runs LD-ROM², from Domesday Duplicator captures (.mmi, about 30 GB per side); this title per the ares compatibility list, checked 2026-10-24: JP and US discs dumped, Completable Unverified. 3DO Pyramid Intruder (JP) is a remake of it.</x:v>
      </x:c>
      <x:c r="AK454" s="9" t="str">
        <x:v>English-only text/audio on both discs per Wikipedia's catalog, so fine for the series. NA date given as 13 Sep or 23 Dec 1993 by different sources (verify).</x:v>
      </x:c>
      <x:c r="AL454" s="10" t="n">
        <x:v>69.94</x:v>
      </x:c>
      <x:c r="AM454" s="10" t="n">
        <x:v>129.19</x:v>
      </x:c>
      <x:c r="AN454" s="10" t="n">
        <x:v>258</x:v>
      </x:c>
      <x:c r="AO454" s="9" t="str">
        <x:v>2026-10-24</x:v>
      </x:c>
      <x:c r="AP454" s="11" t="str">
        <x:f>HYPERLINK("https://www.pricecharting.com/game/laseractive/pyramid-patrol","PriceCharting")</x:f>
        <x:v>PriceCharting</x:v>
      </x:c>
      <x:c r="AQ454" s="9"/>
      <x:c r="AR454" s="9"/>
      <x:c r="AS454" s="9"/>
      <x:c r="AT454" s="9"/>
      <x:c r="AU454" s="9"/>
      <x:c r="AV454" s="9"/>
      <x:c r="AW454" s="9"/>
      <x:c r="AX454" s="9"/>
      <x:c r="AY454" s="9"/>
      <x:c r="AZ454" s="9"/>
      <x:c r="BA454" s="11" t="str">
        <x:f>HYPERLINK("https://www.mobygames.com/game/laseractive/pyramid-patrol","MobyGames")</x:f>
        <x:v>MobyGames</x:v>
      </x:c>
      <x:c r="BB454" s="9"/>
      <x:c r="BC454" s="9"/>
      <x:c r="BD454" s="9"/>
      <x:c r="BE454" s="11" t="str">
        <x:f>HYPERLINK("https://en.wikipedia.org/wiki/LaserActive","Wikipedia")</x:f>
        <x:v>Wikipedia</x:v>
      </x:c>
      <x:c r="BF454" s="11" t="str">
        <x:f>HYPERLINK("https://backloggd.com/search/games/Pyramid%20Patrol/","Backloggd")</x:f>
        <x:v>Backloggd</x:v>
      </x:c>
      <x:c r="BG454" s="9"/>
      <x:c r="BH454" s="9"/>
      <x:c r="BI454" s="12" t="str">
        <x:v>No</x:v>
      </x:c>
      <x:c r="BJ454" s="12" t="str"/>
      <x:c r="BK454" s="12" t="str">
        <x:v>No</x:v>
      </x:c>
      <x:c r="BL454" s="12" t="str"/>
      <x:c r="BM454" s="12" t="str"/>
      <x:c r="BN454" s="12" t="str"/>
      <x:c r="BO454" s="12" t="str"/>
      <x:c r="BP454" s="12" t="str"/>
      <x:c r="BQ454" s="12" t="str"/>
    </x:row>
    <x:row r="455">
      <x:c r="A455" s="9" t="str">
        <x:v>laseractive-4</x:v>
      </x:c>
      <x:c r="B455" s="9" t="str">
        <x:v>space-berserker</x:v>
      </x:c>
      <x:c r="C455" s="9" t="str">
        <x:v>Pioneer LaserActive</x:v>
      </x:c>
      <x:c r="D455" s="9" t="str">
        <x:v>Space Berserker</x:v>
      </x:c>
      <x:c r="E455" s="9" t="str"/>
      <x:c r="F455" s="9" t="str">
        <x:v>Den'no Shokai / Hary &amp; Company (per Sega Does — verify)</x:v>
      </x:c>
      <x:c r="G455" s="9" t="str">
        <x:v>Pioneer LDC</x:v>
      </x:c>
      <x:c r="H455" s="9" t="n">
        <x:v>1993</x:v>
      </x:c>
      <x:c r="I455" s="9" t="str">
        <x:v>Yes</x:v>
      </x:c>
      <x:c r="J455" s="9" t="str">
        <x:v>Yes</x:v>
      </x:c>
      <x:c r="K455" s="9" t="str">
        <x:v>No</x:v>
      </x:c>
      <x:c r="L455" s="9" t="str">
        <x:v>No</x:v>
      </x:c>
      <x:c r="M455" s="9" t="str">
        <x:v>Rail shooter</x:v>
      </x:c>
      <x:c r="N455" s="9" t="str">
        <x:v>Pre-rendered CG</x:v>
      </x:c>
      <x:c r="O455" s="9" t="n">
        <x:v>9</x:v>
      </x:c>
      <x:c r="P455" s="9" t="str">
        <x:v>Pre-rendered CG</x:v>
      </x:c>
      <x:c r="Q455" s="9" t="str">
        <x:v>Released</x:v>
      </x:c>
      <x:c r="R455" s="9" t="str">
        <x:v>Original production</x:v>
      </x:c>
      <x:c r="S455" s="9" t="str">
        <x:v>None (LaserActive exclusive)</x:v>
      </x:c>
      <x:c r="T455" s="9" t="str">
        <x:v>—</x:v>
      </x:c>
      <x:c r="U455" s="9" t="n">
        <x:v>1</x:v>
      </x:c>
      <x:c r="V455" s="9" t="str">
        <x:v>No</x:v>
      </x:c>
      <x:c r="W455" s="9" t="str">
        <x:v>Pioneer LaserActive CLD-A100 + Sega PAC (PAC-S1/S10) required</x:v>
      </x:c>
      <x:c r="X455" s="9" t="str">
        <x:v>Low</x:v>
      </x:c>
      <x:c r="Y455" s="9" t="str"/>
      <x:c r="Z455" s="9" t="str">
        <x:v>~20 min (3 levels)</x:v>
      </x:c>
      <x:c r="AA455" s="9" t="str">
        <x:v>Possibly the worst LaserActive shooter: dark-blue enemies on a black sky over pricey laserdisc CG.</x:v>
      </x:c>
      <x:c r="AB455" s="9" t="str">
        <x:v>None known</x:v>
      </x:c>
      <x:c r="AC455" s="9" t="str">
        <x:v>Full-screen pre-rendered CG laserdisc video with Sega PAC sprites; small video inserts in the HUD for comms</x:v>
      </x:c>
      <x:c r="AD455" s="9" t="str">
        <x:v>Hard to read: dark sprites against black space; weak weapons</x:v>
      </x:c>
      <x:c r="AE455" s="9" t="str">
        <x:v>Single ending (verify)</x:v>
      </x:c>
      <x:c r="AF455" s="9" t="str">
        <x:v>Sega Does gave it an F. Three levels with mission briefings between them.</x:v>
      </x:c>
      <x:c r="AG455" s="9" t="str">
        <x:v>NA PEASU1003 (listed 1993, verify), JP PEASJ1003 (25 Feb 1994)</x:v>
      </x:c>
      <x:c r="AH455" s="9" t="str">
        <x:v>No</x:v>
      </x:c>
      <x:c r="AI455" s="9" t="str">
        <x:v>Expensive</x:v>
      </x:c>
      <x:c r="AJ455" s="9" t="str">
        <x:v>Original hardware: CLD-A100 (or NEC PCE-LD1) with the Sega PAC (PAC-S1 JP / PAC-S10 NA). Emulation: ares v146 (Aug 2025) runs Mega LD and v147 (Dec 2025) runs LD-ROM², from Domesday Duplicator captures (.mmi, about 30 GB per side); this title per the ares compatibility list, checked 2026-10-24: JP and US discs dumped, Completable Unverified. No other versions.</x:v>
      </x:c>
      <x:c r="AK455" s="9" t="str">
        <x:v>Wikipedia's catalog lists Japanese only (no English) even for the NA disc — likely Japanese voice briefings; verify before planning an episode. NA year '1993' predates the JP date, which is doubtful (verify).</x:v>
      </x:c>
      <x:c r="AL455" s="10" t="n">
        <x:v>218.99</x:v>
      </x:c>
      <x:c r="AM455" s="10"/>
      <x:c r="AN455" s="10" t="n">
        <x:v>76</x:v>
      </x:c>
      <x:c r="AO455" s="9" t="str">
        <x:v>2026-10-24</x:v>
      </x:c>
      <x:c r="AP455" s="11" t="str">
        <x:f>HYPERLINK("https://www.pricecharting.com/game/laseractive/space-beserker","PriceCharting")</x:f>
        <x:v>PriceCharting</x:v>
      </x:c>
      <x:c r="AQ455" s="9"/>
      <x:c r="AR455" s="9"/>
      <x:c r="AS455" s="9"/>
      <x:c r="AT455" s="9"/>
      <x:c r="AU455" s="9"/>
      <x:c r="AV455" s="9"/>
      <x:c r="AW455" s="9"/>
      <x:c r="AX455" s="9"/>
      <x:c r="AY455" s="9"/>
      <x:c r="AZ455" s="9"/>
      <x:c r="BA455" s="11" t="str">
        <x:f>HYPERLINK("https://www.mobygames.com/game/113496/space-berserker/","MobyGames")</x:f>
        <x:v>MobyGames</x:v>
      </x:c>
      <x:c r="BB455" s="9"/>
      <x:c r="BC455" s="9"/>
      <x:c r="BD455" s="9"/>
      <x:c r="BE455" s="11" t="str">
        <x:f>HYPERLINK("https://en.wikipedia.org/wiki/LaserActive","Wikipedia")</x:f>
        <x:v>Wikipedia</x:v>
      </x:c>
      <x:c r="BF455" s="11" t="str">
        <x:f>HYPERLINK("https://backloggd.com/search/games/Space%20Berserker/","Backloggd")</x:f>
        <x:v>Backloggd</x:v>
      </x:c>
      <x:c r="BG455" s="9"/>
      <x:c r="BH455" s="9"/>
      <x:c r="BI455" s="12" t="str">
        <x:v>No</x:v>
      </x:c>
      <x:c r="BJ455" s="12" t="str"/>
      <x:c r="BK455" s="12" t="str">
        <x:v>No</x:v>
      </x:c>
      <x:c r="BL455" s="12" t="str"/>
      <x:c r="BM455" s="12" t="str"/>
      <x:c r="BN455" s="12" t="str"/>
      <x:c r="BO455" s="12" t="str"/>
      <x:c r="BP455" s="12" t="str"/>
      <x:c r="BQ455" s="12" t="str"/>
    </x:row>
    <x:row r="456">
      <x:c r="A456" s="9" t="str">
        <x:v>laseractive-5</x:v>
      </x:c>
      <x:c r="B456" s="9" t="str">
        <x:v>hi-roller-battle</x:v>
      </x:c>
      <x:c r="C456" s="9" t="str">
        <x:v>Pioneer LaserActive</x:v>
      </x:c>
      <x:c r="D456" s="9" t="str">
        <x:v>Hi-Roller Battle</x:v>
      </x:c>
      <x:c r="E456" s="9" t="str"/>
      <x:c r="F456" s="9" t="str">
        <x:v>CRC Research</x:v>
      </x:c>
      <x:c r="G456" s="9" t="str">
        <x:v>Pioneer LDC</x:v>
      </x:c>
      <x:c r="H456" s="9" t="n">
        <x:v>1993</x:v>
      </x:c>
      <x:c r="I456" s="9" t="str">
        <x:v>Yes</x:v>
      </x:c>
      <x:c r="J456" s="9" t="str">
        <x:v>Yes</x:v>
      </x:c>
      <x:c r="K456" s="9" t="str">
        <x:v>No</x:v>
      </x:c>
      <x:c r="L456" s="9" t="str">
        <x:v>No</x:v>
      </x:c>
      <x:c r="M456" s="9" t="str">
        <x:v>Rail shooter (helicopter)</x:v>
      </x:c>
      <x:c r="N456" s="9" t="str">
        <x:v>Pre-rendered CG</x:v>
      </x:c>
      <x:c r="O456" s="9" t="n">
        <x:v>9</x:v>
      </x:c>
      <x:c r="P456" s="9" t="str">
        <x:v>Pre-rendered CG</x:v>
      </x:c>
      <x:c r="Q456" s="9" t="str">
        <x:v>Released</x:v>
      </x:c>
      <x:c r="R456" s="9" t="str">
        <x:v>Original production</x:v>
      </x:c>
      <x:c r="S456" s="9" t="str">
        <x:v>None (LaserActive exclusive)</x:v>
      </x:c>
      <x:c r="T456" s="9" t="str">
        <x:v>—</x:v>
      </x:c>
      <x:c r="U456" s="9" t="n">
        <x:v>1</x:v>
      </x:c>
      <x:c r="V456" s="9" t="str">
        <x:v>No</x:v>
      </x:c>
      <x:c r="W456" s="9" t="str">
        <x:v>Pioneer LaserActive CLD-A100 + Sega PAC (PAC-S1/S10) required</x:v>
      </x:c>
      <x:c r="X456" s="9" t="str">
        <x:v>Low</x:v>
      </x:c>
      <x:c r="Y456" s="9" t="str"/>
      <x:c r="Z456" s="9" t="str">
        <x:v>Unknown — verify</x:v>
      </x:c>
      <x:c r="AA456" s="9" t="str">
        <x:v>A Cobra Command wannabe where you stop the island nation 'J-Land' with a slow cursor and a chopper briefing straight out of Team America.</x:v>
      </x:c>
      <x:c r="AB456" s="9" t="str">
        <x:v>None known</x:v>
      </x:c>
      <x:c r="AC456" s="9" t="str">
        <x:v>Full-screen pre-rendered CG terrain video with fast Sega PAC sprite helicopters</x:v>
      </x:c>
      <x:c r="AD456" s="9" t="str">
        <x:v>Spongy enemies and unreliable hit detection</x:v>
      </x:c>
      <x:c r="AE456" s="9" t="str">
        <x:v>Single ending (verify)</x:v>
      </x:c>
      <x:c r="AF456" s="9" t="str">
        <x:v>Sega Does graded it D and called it a 'low-energy slog'. The villain nation is called J-Land.</x:v>
      </x:c>
      <x:c r="AG456" s="9" t="str">
        <x:v>JP PEASJ1002 (20 Dec 1993), NA PEASU1002 (1993 per Wikipedia; Sega Does says 26 May 1994)</x:v>
      </x:c>
      <x:c r="AH456" s="9" t="str">
        <x:v>No</x:v>
      </x:c>
      <x:c r="AI456" s="9" t="str">
        <x:v>Add-on required</x:v>
      </x:c>
      <x:c r="AJ456" s="9" t="str">
        <x:v>Original hardware: CLD-A100 (or NEC PCE-LD1) with the Sega PAC (PAC-S1 JP / PAC-S10 NA). Emulation: ares v146 (Aug 2025) runs Mega LD and v147 (Dec 2025) runs LD-ROM², from Domesday Duplicator captures (.mmi, about 30 GB per side); this title per the ares compatibility list, checked 2026-10-24: JP and US discs dumped, Completable Unverified. No other versions.</x:v>
      </x:c>
      <x:c r="AK456" s="9" t="str">
        <x:v>Japanese and English on both discs per Wikipedia, with English voiced briefings — fine for the series.</x:v>
      </x:c>
      <x:c r="AL456" s="10" t="n">
        <x:v>30</x:v>
      </x:c>
      <x:c r="AM456" s="10" t="n">
        <x:v>100</x:v>
      </x:c>
      <x:c r="AN456" s="10" t="n">
        <x:v>180.31</x:v>
      </x:c>
      <x:c r="AO456" s="9" t="str">
        <x:v>2026-10-24</x:v>
      </x:c>
      <x:c r="AP456" s="11" t="str">
        <x:f>HYPERLINK("https://www.pricecharting.com/game/laseractive/hi-roller-battle","PriceCharting")</x:f>
        <x:v>PriceCharting</x:v>
      </x:c>
      <x:c r="AQ456" s="9"/>
      <x:c r="AR456" s="9"/>
      <x:c r="AS456" s="9"/>
      <x:c r="AT456" s="9"/>
      <x:c r="AU456" s="9"/>
      <x:c r="AV456" s="9"/>
      <x:c r="AW456" s="9"/>
      <x:c r="AX456" s="9"/>
      <x:c r="AY456" s="9"/>
      <x:c r="AZ456" s="9"/>
      <x:c r="BA456" s="11" t="str">
        <x:f>HYPERLINK("https://www.mobygames.com/game/laseractive/hi-roller-battle","MobyGames")</x:f>
        <x:v>MobyGames</x:v>
      </x:c>
      <x:c r="BB456" s="9"/>
      <x:c r="BC456" s="9"/>
      <x:c r="BD456" s="9"/>
      <x:c r="BE456" s="11" t="str">
        <x:f>HYPERLINK("https://en.wikipedia.org/wiki/LaserActive","Wikipedia")</x:f>
        <x:v>Wikipedia</x:v>
      </x:c>
      <x:c r="BF456" s="11" t="str">
        <x:f>HYPERLINK("https://backloggd.com/search/games/Hi-Roller%20Battle/","Backloggd")</x:f>
        <x:v>Backloggd</x:v>
      </x:c>
      <x:c r="BG456" s="9"/>
      <x:c r="BH456" s="9"/>
      <x:c r="BI456" s="12" t="str">
        <x:v>No</x:v>
      </x:c>
      <x:c r="BJ456" s="12" t="str"/>
      <x:c r="BK456" s="12" t="str">
        <x:v>No</x:v>
      </x:c>
      <x:c r="BL456" s="12" t="str"/>
      <x:c r="BM456" s="12" t="str"/>
      <x:c r="BN456" s="12" t="str"/>
      <x:c r="BO456" s="12" t="str"/>
      <x:c r="BP456" s="12" t="str"/>
      <x:c r="BQ456" s="12" t="str"/>
    </x:row>
    <x:row r="457">
      <x:c r="A457" s="9" t="str">
        <x:v>laseractive-6</x:v>
      </x:c>
      <x:c r="B457" s="9" t="str">
        <x:v>rocket-coaster</x:v>
      </x:c>
      <x:c r="C457" s="9" t="str">
        <x:v>Pioneer LaserActive</x:v>
      </x:c>
      <x:c r="D457" s="9" t="str">
        <x:v>Rocket Coaster</x:v>
      </x:c>
      <x:c r="E457" s="9" t="str"/>
      <x:c r="F457" s="9" t="str">
        <x:v>High Tech Laboratory Japan (for Taito)</x:v>
      </x:c>
      <x:c r="G457" s="9" t="str">
        <x:v>Pioneer LDC</x:v>
      </x:c>
      <x:c r="H457" s="9" t="n">
        <x:v>1993</x:v>
      </x:c>
      <x:c r="I457" s="9" t="str">
        <x:v>Yes</x:v>
      </x:c>
      <x:c r="J457" s="9" t="str">
        <x:v>Yes</x:v>
      </x:c>
      <x:c r="K457" s="9" t="str">
        <x:v>No</x:v>
      </x:c>
      <x:c r="L457" s="9" t="str">
        <x:v>No</x:v>
      </x:c>
      <x:c r="M457" s="9" t="str">
        <x:v>Racing / dodge-the-scenery</x:v>
      </x:c>
      <x:c r="N457" s="9" t="str">
        <x:v>Pre-rendered CG</x:v>
      </x:c>
      <x:c r="O457" s="9" t="n">
        <x:v>9</x:v>
      </x:c>
      <x:c r="P457" s="9" t="str">
        <x:v>Pre-rendered CG</x:v>
      </x:c>
      <x:c r="Q457" s="9" t="str">
        <x:v>Released</x:v>
      </x:c>
      <x:c r="R457" s="9" t="str">
        <x:v>Taito Super D3BOS motion-simulator ride film by High Tech Lab Japan</x:v>
      </x:c>
      <x:c r="S457" s="9" t="str">
        <x:v>Arcade ride (non-interactive, Taito Super D3BOS)</x:v>
      </x:c>
      <x:c r="T457" s="9" t="str">
        <x:v>—</x:v>
      </x:c>
      <x:c r="U457" s="9" t="n">
        <x:v>1</x:v>
      </x:c>
      <x:c r="V457" s="9" t="str">
        <x:v>No</x:v>
      </x:c>
      <x:c r="W457" s="9" t="str">
        <x:v>Pioneer LaserActive CLD-A100 + Sega PAC (PAC-S1/S10) required</x:v>
      </x:c>
      <x:c r="X457" s="9" t="str">
        <x:v>Low</x:v>
      </x:c>
      <x:c r="Y457" s="9" t="str"/>
      <x:c r="Z457" s="9" t="str">
        <x:v>Unknown — verify</x:v>
      </x:c>
      <x:c r="AA457" s="9" t="str">
        <x:v>A Taito theme-park motion-ride film turned into a MegaRace-style game on laserdisc.</x:v>
      </x:c>
      <x:c r="AB457" s="9" t="str">
        <x:v>None known</x:v>
      </x:c>
      <x:c r="AC457" s="9" t="str">
        <x:v>Full-screen pre-rendered CG ride footage with a Sega PAC sprite car</x:v>
      </x:c>
      <x:c r="AD457" s="9" t="str">
        <x:v>Unknown — verify</x:v>
      </x:c>
      <x:c r="AE457" s="9" t="str">
        <x:v>Single ending (verify)</x:v>
      </x:c>
      <x:c r="AF457" s="9" t="str">
        <x:v>The footage came from a non-interactive VR ride for Taito's Super D3BOS motion simulator; courses run from fantasy to sci-fi to prehistory.</x:v>
      </x:c>
      <x:c r="AG457" s="9" t="str">
        <x:v>JP PEASJ5013 (20 Dec 1993), NA PEASU5013 (1993)</x:v>
      </x:c>
      <x:c r="AH457" s="9" t="str">
        <x:v>No</x:v>
      </x:c>
      <x:c r="AI457" s="9" t="str">
        <x:v>Add-on required</x:v>
      </x:c>
      <x:c r="AJ457" s="9" t="str">
        <x:v>Original hardware: CLD-A100 (or NEC PCE-LD1) with the Sega PAC (PAC-S1 JP / PAC-S10 NA). Emulation: ares v146 (Aug 2025) runs Mega LD and v147 (Dec 2025) runs LD-ROM², from Domesday Duplicator captures (.mmi, about 30 GB per side); this title per the ares compatibility list, checked 2026-10-24: JP and US discs dumped, Completable Unverified. No other versions.</x:v>
      </x:c>
      <x:c r="AK457" s="9" t="str">
        <x:v>English only per Wikipedia's catalog. MobyGames critic score 67% rests on a single rating.</x:v>
      </x:c>
      <x:c r="AL457" s="10" t="n">
        <x:v>93</x:v>
      </x:c>
      <x:c r="AM457" s="10" t="n">
        <x:v>135</x:v>
      </x:c>
      <x:c r="AN457" s="10" t="n">
        <x:v>270</x:v>
      </x:c>
      <x:c r="AO457" s="9" t="str">
        <x:v>2026-10-24</x:v>
      </x:c>
      <x:c r="AP457" s="11" t="str">
        <x:f>HYPERLINK("https://www.pricecharting.com/game/laseractive/rocket-coaster","PriceCharting")</x:f>
        <x:v>PriceCharting</x:v>
      </x:c>
      <x:c r="AQ457" s="9"/>
      <x:c r="AR457" s="9"/>
      <x:c r="AS457" s="9"/>
      <x:c r="AT457" s="9"/>
      <x:c r="AU457" s="9"/>
      <x:c r="AV457" s="9"/>
      <x:c r="AW457" s="9"/>
      <x:c r="AX457" s="9"/>
      <x:c r="AY457" s="9" t="str">
        <x:v>67%</x:v>
      </x:c>
      <x:c r="AZ457" s="9"/>
      <x:c r="BA457" s="11" t="str">
        <x:f>HYPERLINK("https://www.mobygames.com/game/123094/rocket-coaster/","MobyGames")</x:f>
        <x:v>MobyGames</x:v>
      </x:c>
      <x:c r="BB457" s="9"/>
      <x:c r="BC457" s="9"/>
      <x:c r="BD457" s="9"/>
      <x:c r="BE457" s="11" t="str">
        <x:f>HYPERLINK("https://en.wikipedia.org/wiki/LaserActive","Wikipedia")</x:f>
        <x:v>Wikipedia</x:v>
      </x:c>
      <x:c r="BF457" s="11" t="str">
        <x:f>HYPERLINK("https://backloggd.com/search/games/Rocket%20Coaster/","Backloggd")</x:f>
        <x:v>Backloggd</x:v>
      </x:c>
      <x:c r="BG457" s="9"/>
      <x:c r="BH457" s="9"/>
      <x:c r="BI457" s="12" t="str">
        <x:v>No</x:v>
      </x:c>
      <x:c r="BJ457" s="12" t="str"/>
      <x:c r="BK457" s="12" t="str">
        <x:v>No</x:v>
      </x:c>
      <x:c r="BL457" s="12" t="str"/>
      <x:c r="BM457" s="12" t="str"/>
      <x:c r="BN457" s="12" t="str"/>
      <x:c r="BO457" s="12" t="str"/>
      <x:c r="BP457" s="12" t="str"/>
      <x:c r="BQ457" s="12" t="str"/>
    </x:row>
    <x:row r="458">
      <x:c r="A458" s="9" t="str">
        <x:v>laseractive-7</x:v>
      </x:c>
      <x:c r="B458" s="9" t="str">
        <x:v>hyperion</x:v>
      </x:c>
      <x:c r="C458" s="9" t="str">
        <x:v>Pioneer LaserActive</x:v>
      </x:c>
      <x:c r="D458" s="9" t="str">
        <x:v>Hyperion</x:v>
      </x:c>
      <x:c r="E458" s="9" t="str"/>
      <x:c r="F458" s="9" t="str">
        <x:v>Taito</x:v>
      </x:c>
      <x:c r="G458" s="9" t="str">
        <x:v>Pioneer LDC</x:v>
      </x:c>
      <x:c r="H458" s="9" t="n">
        <x:v>1994</x:v>
      </x:c>
      <x:c r="I458" s="9" t="str">
        <x:v>Yes</x:v>
      </x:c>
      <x:c r="J458" s="9" t="str">
        <x:v>Yes</x:v>
      </x:c>
      <x:c r="K458" s="9" t="str">
        <x:v>No</x:v>
      </x:c>
      <x:c r="L458" s="9" t="str">
        <x:v>No</x:v>
      </x:c>
      <x:c r="M458" s="9" t="str">
        <x:v>Third-person shooter</x:v>
      </x:c>
      <x:c r="N458" s="9" t="str">
        <x:v>Pre-rendered CG</x:v>
      </x:c>
      <x:c r="O458" s="9" t="n">
        <x:v>9</x:v>
      </x:c>
      <x:c r="P458" s="9" t="str">
        <x:v>Pre-rendered CG</x:v>
      </x:c>
      <x:c r="Q458" s="9" t="str">
        <x:v>Released</x:v>
      </x:c>
      <x:c r="R458" s="9" t="str">
        <x:v>Original production</x:v>
      </x:c>
      <x:c r="S458" s="9" t="str">
        <x:v>None (LaserActive exclusive)</x:v>
      </x:c>
      <x:c r="T458" s="9" t="str">
        <x:v>—</x:v>
      </x:c>
      <x:c r="U458" s="9" t="n">
        <x:v>1</x:v>
      </x:c>
      <x:c r="V458" s="9" t="str">
        <x:v>No</x:v>
      </x:c>
      <x:c r="W458" s="9" t="str">
        <x:v>Pioneer LaserActive CLD-A100 + Sega PAC (PAC-S1/S10) required</x:v>
      </x:c>
      <x:c r="X458" s="9" t="str">
        <x:v>Low</x:v>
      </x:c>
      <x:c r="Y458" s="9" t="str"/>
      <x:c r="Z458" s="9" t="str">
        <x:v>Unknown — verify</x:v>
      </x:c>
      <x:c r="AA458" s="9" t="str">
        <x:v>The best Mega LD shooter by consensus: Space Harrier-style blasting over laserdisc CG, with laserdisc-video bosses.</x:v>
      </x:c>
      <x:c r="AB458" s="9" t="str">
        <x:v>None known</x:v>
      </x:c>
      <x:c r="AC458" s="9" t="str">
        <x:v>Full-screen pre-rendered CG backdrops with Sega PAC sprite ships; large enemies and bosses are in the video</x:v>
      </x:c>
      <x:c r="AD458" s="9" t="str">
        <x:v>Moderate; shields and bomb pickups (verify)</x:v>
      </x:c>
      <x:c r="AE458" s="9" t="str">
        <x:v>Single ending (verify)</x:v>
      </x:c>
      <x:c r="AF458" s="9" t="str">
        <x:v>Story follows the last humans after aliens destroy Earth, with mission briefings and wingman radio chatter. Sega Does gave it a B, its top LaserActive shooter grade.</x:v>
      </x:c>
      <x:c r="AG458" s="9" t="str">
        <x:v>JP PEASJ5019 (27 May 1994), NA PEASU5019 (13 Jul 1994 per Sega Does)</x:v>
      </x:c>
      <x:c r="AH458" s="9" t="str">
        <x:v>No</x:v>
      </x:c>
      <x:c r="AI458" s="9" t="str">
        <x:v>Expensive</x:v>
      </x:c>
      <x:c r="AJ458" s="9" t="str">
        <x:v>Original hardware: CLD-A100 (or NEC PCE-LD1) with the Sega PAC (PAC-S1 JP / PAC-S10 NA). Emulation: ares v146 (Aug 2025) runs Mega LD and v147 (Dec 2025) runs LD-ROM², from Domesday Duplicator captures (.mmi, about 30 GB per side); this title per the ares compatibility list, checked 2026-10-24: JP and US discs dumped, Completable Unverified. No other versions.</x:v>
      </x:c>
      <x:c r="AK458" s="9" t="str">
        <x:v>English only per Wikipedia's catalog.</x:v>
      </x:c>
      <x:c r="AL458" s="10" t="n">
        <x:v>199</x:v>
      </x:c>
      <x:c r="AM458" s="10" t="n">
        <x:v>199.5</x:v>
      </x:c>
      <x:c r="AN458" s="10" t="n">
        <x:v>399</x:v>
      </x:c>
      <x:c r="AO458" s="9" t="str">
        <x:v>2026-10-24</x:v>
      </x:c>
      <x:c r="AP458" s="11" t="str">
        <x:f>HYPERLINK("https://www.pricecharting.com/game/laseractive/hyperion","PriceCharting")</x:f>
        <x:v>PriceCharting</x:v>
      </x:c>
      <x:c r="AQ458" s="9"/>
      <x:c r="AR458" s="9"/>
      <x:c r="AS458" s="9"/>
      <x:c r="AT458" s="9"/>
      <x:c r="AU458" s="9"/>
      <x:c r="AV458" s="9"/>
      <x:c r="AW458" s="9"/>
      <x:c r="AX458" s="9"/>
      <x:c r="AY458" s="9"/>
      <x:c r="AZ458" s="9"/>
      <x:c r="BA458" s="11" t="str">
        <x:f>HYPERLINK("https://www.mobygames.com/search/?q=Hyperion","MobyGames")</x:f>
        <x:v>MobyGames</x:v>
      </x:c>
      <x:c r="BB458" s="9"/>
      <x:c r="BC458" s="9"/>
      <x:c r="BD458" s="9"/>
      <x:c r="BE458" s="11" t="str">
        <x:f>HYPERLINK("https://en.wikipedia.org/wiki/LaserActive","Wikipedia")</x:f>
        <x:v>Wikipedia</x:v>
      </x:c>
      <x:c r="BF458" s="11" t="str">
        <x:f>HYPERLINK("https://backloggd.com/search/games/Hyperion/","Backloggd")</x:f>
        <x:v>Backloggd</x:v>
      </x:c>
      <x:c r="BG458" s="9"/>
      <x:c r="BH458" s="9"/>
      <x:c r="BI458" s="12" t="str">
        <x:v>No</x:v>
      </x:c>
      <x:c r="BJ458" s="12" t="str"/>
      <x:c r="BK458" s="12" t="str">
        <x:v>No</x:v>
      </x:c>
      <x:c r="BL458" s="12" t="str"/>
      <x:c r="BM458" s="12" t="str"/>
      <x:c r="BN458" s="12" t="str"/>
      <x:c r="BO458" s="12" t="str"/>
      <x:c r="BP458" s="12" t="str"/>
      <x:c r="BQ458" s="12" t="str"/>
    </x:row>
    <x:row r="459">
      <x:c r="A459" s="9" t="str">
        <x:v>laseractive-8</x:v>
      </x:c>
      <x:c r="B459" s="9" t="str">
        <x:v>ghost-rush</x:v>
      </x:c>
      <x:c r="C459" s="9" t="str">
        <x:v>Pioneer LaserActive</x:v>
      </x:c>
      <x:c r="D459" s="9" t="str">
        <x:v>Ghost Rush!</x:v>
      </x:c>
      <x:c r="E459" s="9" t="str"/>
      <x:c r="F459" s="9" t="str">
        <x:v>Pioneer LDC</x:v>
      </x:c>
      <x:c r="G459" s="9" t="str">
        <x:v>Pioneer LDC</x:v>
      </x:c>
      <x:c r="H459" s="9" t="n">
        <x:v>1994</x:v>
      </x:c>
      <x:c r="I459" s="9" t="str">
        <x:v>Yes</x:v>
      </x:c>
      <x:c r="J459" s="9" t="str">
        <x:v>Yes</x:v>
      </x:c>
      <x:c r="K459" s="9" t="str">
        <x:v>No</x:v>
      </x:c>
      <x:c r="L459" s="9" t="str">
        <x:v>No</x:v>
      </x:c>
      <x:c r="M459" s="9" t="str">
        <x:v>First-person dungeon crawler / shooting gallery</x:v>
      </x:c>
      <x:c r="N459" s="9" t="str">
        <x:v>Unknown — verify</x:v>
      </x:c>
      <x:c r="O459" s="9" t="n">
        <x:v>5</x:v>
      </x:c>
      <x:c r="P459" s="9" t="str">
        <x:v>FMV adventure</x:v>
      </x:c>
      <x:c r="Q459" s="9" t="str">
        <x:v>Released</x:v>
      </x:c>
      <x:c r="R459" s="9" t="str">
        <x:v>Original production</x:v>
      </x:c>
      <x:c r="S459" s="9" t="str">
        <x:v>None (LaserActive exclusive)</x:v>
      </x:c>
      <x:c r="T459" s="9" t="str">
        <x:v>—</x:v>
      </x:c>
      <x:c r="U459" s="9" t="n">
        <x:v>1</x:v>
      </x:c>
      <x:c r="V459" s="9" t="str">
        <x:v>Unknown — verify</x:v>
      </x:c>
      <x:c r="W459" s="9" t="str">
        <x:v>Pioneer LaserActive CLD-A100 + Sega PAC (PAC-S1/S10) required</x:v>
      </x:c>
      <x:c r="X459" s="9" t="str">
        <x:v>Low</x:v>
      </x:c>
      <x:c r="Y459" s="9" t="str"/>
      <x:c r="Z459" s="9" t="str">
        <x:v>Unknown — verify</x:v>
      </x:c>
      <x:c r="AA459" s="9" t="str">
        <x:v>A haunted-mansion crawler with cute ghosts, an extendo-arm and a claymation shopkeeper.</x:v>
      </x:c>
      <x:c r="AB459" s="9" t="str">
        <x:v>None known</x:v>
      </x:c>
      <x:c r="AC459" s="9" t="str">
        <x:v>Laserdisc video corridors/encounters with Sega PAC overlays (verify how much is streamed)</x:v>
      </x:c>
      <x:c r="AD459" s="9" t="str">
        <x:v>Repetitive; no in-game map</x:v>
      </x:c>
      <x:c r="AE459" s="9" t="str">
        <x:v>Unknown — verify</x:v>
      </x:c>
      <x:c r="AF459" s="9" t="str">
        <x:v>You clear a mansion of ghosts for a town reward; the shopkeeper looks like claymation or stop-motion. Sega Does gave it a D.</x:v>
      </x:c>
      <x:c r="AG459" s="9" t="str">
        <x:v>JP PEASJ1018 (3 Dec 1994), NA PEASU1018 (1995)</x:v>
      </x:c>
      <x:c r="AH459" s="9" t="str">
        <x:v>No</x:v>
      </x:c>
      <x:c r="AI459" s="9" t="str">
        <x:v>Expensive</x:v>
      </x:c>
      <x:c r="AJ459" s="9" t="str">
        <x:v>Original hardware: CLD-A100 (or NEC PCE-LD1) with the Sega PAC (PAC-S1 JP / PAC-S10 NA). Emulation: ares v146 (Aug 2025) runs Mega LD and v147 (Dec 2025) runs LD-ROM², from Domesday Duplicator captures (.mmi, about 30 GB per side); this title per the ares compatibility list, checked 2026-10-24: JP disc dumped, Completable Unverified; US disc undumped. No other versions.</x:v>
      </x:c>
      <x:c r="AK459" s="9" t="str">
        <x:v>Japanese and English on both discs per Wikipedia. fmv 5 and fmvType are estimates; check footage to see whether movement is streamed video or Genesis-drawn (verify).</x:v>
      </x:c>
      <x:c r="AL459" s="10" t="n">
        <x:v>195.93</x:v>
      </x:c>
      <x:c r="AM459" s="10" t="n">
        <x:v>200</x:v>
      </x:c>
      <x:c r="AN459" s="10" t="n">
        <x:v>800.76</x:v>
      </x:c>
      <x:c r="AO459" s="9" t="str">
        <x:v>2026-10-24</x:v>
      </x:c>
      <x:c r="AP459" s="11" t="str">
        <x:f>HYPERLINK("https://www.pricecharting.com/game/jp-laseractive/ghost-rush","PriceCharting")</x:f>
        <x:v>PriceCharting</x:v>
      </x:c>
      <x:c r="AQ459" s="9"/>
      <x:c r="AR459" s="9"/>
      <x:c r="AS459" s="9"/>
      <x:c r="AT459" s="9"/>
      <x:c r="AU459" s="9"/>
      <x:c r="AV459" s="9"/>
      <x:c r="AW459" s="9"/>
      <x:c r="AX459" s="9"/>
      <x:c r="AY459" s="9"/>
      <x:c r="AZ459" s="9"/>
      <x:c r="BA459" s="11" t="str">
        <x:f>HYPERLINK("https://www.mobygames.com/game/laseractive/ghost-rush","MobyGames")</x:f>
        <x:v>MobyGames</x:v>
      </x:c>
      <x:c r="BB459" s="9"/>
      <x:c r="BC459" s="9"/>
      <x:c r="BD459" s="9"/>
      <x:c r="BE459" s="11" t="str">
        <x:f>HYPERLINK("https://en.wikipedia.org/wiki/LaserActive","Wikipedia")</x:f>
        <x:v>Wikipedia</x:v>
      </x:c>
      <x:c r="BF459" s="11" t="str">
        <x:f>HYPERLINK("https://backloggd.com/search/games/Ghost%20Rush%21/","Backloggd")</x:f>
        <x:v>Backloggd</x:v>
      </x:c>
      <x:c r="BG459" s="9"/>
      <x:c r="BH459" s="9"/>
      <x:c r="BI459" s="12" t="str">
        <x:v>No</x:v>
      </x:c>
      <x:c r="BJ459" s="12" t="str"/>
      <x:c r="BK459" s="12" t="str">
        <x:v>No</x:v>
      </x:c>
      <x:c r="BL459" s="12" t="str"/>
      <x:c r="BM459" s="12" t="str"/>
      <x:c r="BN459" s="12" t="str"/>
      <x:c r="BO459" s="12" t="str"/>
      <x:c r="BP459" s="12" t="str"/>
      <x:c r="BQ459" s="12" t="str"/>
    </x:row>
    <x:row r="460">
      <x:c r="A460" s="9" t="str">
        <x:v>laseractive-9</x:v>
      </x:c>
      <x:c r="B460" s="9" t="str">
        <x:v>goku</x:v>
      </x:c>
      <x:c r="C460" s="9" t="str">
        <x:v>Pioneer LaserActive</x:v>
      </x:c>
      <x:c r="D460" s="9" t="str">
        <x:v>Goku</x:v>
      </x:c>
      <x:c r="E460" s="9" t="str"/>
      <x:c r="F460" s="9" t="str">
        <x:v>Ichikawa Soft Laboratory (programming) / Magic Box Productions / Studio Garage (verify lead)</x:v>
      </x:c>
      <x:c r="G460" s="9" t="str">
        <x:v>Pioneer LDC (JP, NA)</x:v>
      </x:c>
      <x:c r="H460" s="9" t="n">
        <x:v>1995</x:v>
      </x:c>
      <x:c r="I460" s="9" t="str">
        <x:v>Yes</x:v>
      </x:c>
      <x:c r="J460" s="9" t="str">
        <x:v>Yes</x:v>
      </x:c>
      <x:c r="K460" s="9" t="str">
        <x:v>No</x:v>
      </x:c>
      <x:c r="L460" s="9" t="str">
        <x:v>No</x:v>
      </x:c>
      <x:c r="M460" s="9" t="str">
        <x:v>CG maze / exploration</x:v>
      </x:c>
      <x:c r="N460" s="9" t="str">
        <x:v>Pre-rendered CG</x:v>
      </x:c>
      <x:c r="O460" s="9" t="n">
        <x:v>7</x:v>
      </x:c>
      <x:c r="P460" s="9" t="str">
        <x:v>Pre-rendered CG</x:v>
      </x:c>
      <x:c r="Q460" s="9" t="str">
        <x:v>Released</x:v>
      </x:c>
      <x:c r="R460" s="9" t="str">
        <x:v>Original production, from Journey to the West; concept and story by Hiroshi Aramata</x:v>
      </x:c>
      <x:c r="S460" s="9" t="str">
        <x:v>None outside LaserActive</x:v>
      </x:c>
      <x:c r="T460" s="9" t="str">
        <x:v>Tarako (Goku), Mao Kawaguchi (Gyumao); music clip by Haruomi Hosono</x:v>
      </x:c>
      <x:c r="U460" s="9" t="n">
        <x:v>1</x:v>
      </x:c>
      <x:c r="V460" s="9" t="str">
        <x:v>Unknown — verify</x:v>
      </x:c>
      <x:c r="W460" s="9" t="str">
        <x:v>Mega LD: LaserActive + Sega PAC (PAC-S1/S10); LD-ROM²: LaserActive + NEC PAC (PAC-N1/N10) or NEC PCE-LD1</x:v>
      </x:c>
      <x:c r="X460" s="9" t="str">
        <x:v>Med</x:v>
      </x:c>
      <x:c r="Y460" s="9" t="str">
        <x:v>Haruomi Hosono 'Seven Wonders' music clip on the disc</x:v>
      </x:c>
      <x:c r="Z460" s="9" t="str">
        <x:v>Unknown — verify</x:v>
      </x:c>
      <x:c r="AA460" s="9" t="str">
        <x:v>A Monkey King CG labyrinth from Japanese occult-fiction author Hiroshi Aramata, with music by Haruomi Hosono of YMO.</x:v>
      </x:c>
      <x:c r="AB460" s="9" t="str">
        <x:v>None known</x:v>
      </x:c>
      <x:c r="AC460" s="9" t="str">
        <x:v>Pre-rendered CG laserdisc video (Hyper Maze segment) plus a CG Designer mode (verify)</x:v>
      </x:c>
      <x:c r="AD460" s="9" t="str">
        <x:v>Unknown — verify</x:v>
      </x:c>
      <x:c r="AE460" s="9" t="str">
        <x:v>Unknown — verify</x:v>
      </x:c>
      <x:c r="AF460" s="9" t="str">
        <x:v>The disc includes a 'Hyper Maze', a 'CG Designer Mode' and a 'Seven Wonders' music clip by Haruomi Hosono. Dentsu organised the project.</x:v>
      </x:c>
      <x:c r="AG460" s="9" t="str">
        <x:v>JP Mega LD PEASJ1010 (15 Jun 1995), JP LD-ROM² PEANJ1032 (20 Oct 1995), NA Mega LD PEASU1010 (1995)</x:v>
      </x:c>
      <x:c r="AH460" s="9" t="str">
        <x:v>No</x:v>
      </x:c>
      <x:c r="AI460" s="9" t="str">
        <x:v>Expensive</x:v>
      </x:c>
      <x:c r="AJ460" s="9" t="str">
        <x:v>Original hardware: CLD-A100 (or NEC PCE-LD1) with the Sega PAC (PAC-S1 JP / PAC-S10 NA); the JP LD-ROM² disc needs CLD-A100 with the NEC PAC (PAC-N1 JP / PAC-N10 NA), or NEC PCE-LD1. Emulation: ares v146 (Aug 2025) runs Mega LD and v147 (Dec 2025) runs LD-ROM², from Domesday Duplicator captures (.mmi, about 30 GB per side); this title per the ares compatibility list, checked 2026-10-24: JP Mega LD disc dumped, Completable Unverified; JP LD-ROM² and US Mega LD discs undumped. No other versions.</x:v>
      </x:c>
      <x:c r="AK460" s="9" t="str">
        <x:v>NA Mega LD disc is English; both JP discs are Japanese-only (per Wikipedia). Arcade-History calls PEANJ1010 an LD-ROM disc, conflicting with Wikipedia's Mega LD listing (verify). Gameplay details thin — check footage.</x:v>
      </x:c>
      <x:c r="AL460" s="10" t="n">
        <x:v>129.99</x:v>
      </x:c>
      <x:c r="AM460" s="10" t="n">
        <x:v>285.98</x:v>
      </x:c>
      <x:c r="AN460" s="10" t="n">
        <x:v>584.96</x:v>
      </x:c>
      <x:c r="AO460" s="9" t="str">
        <x:v>2026-10-24</x:v>
      </x:c>
      <x:c r="AP460" s="11" t="str">
        <x:f>HYPERLINK("https://www.pricecharting.com/game/laseractive/goku","PriceCharting")</x:f>
        <x:v>PriceCharting</x:v>
      </x:c>
      <x:c r="AQ460" s="9"/>
      <x:c r="AR460" s="9"/>
      <x:c r="AS460" s="9"/>
      <x:c r="AT460" s="9"/>
      <x:c r="AU460" s="9"/>
      <x:c r="AV460" s="9"/>
      <x:c r="AW460" s="9"/>
      <x:c r="AX460" s="9"/>
      <x:c r="AY460" s="9"/>
      <x:c r="AZ460" s="9"/>
      <x:c r="BA460" s="11" t="str">
        <x:f>HYPERLINK("https://www.mobygames.com/game/123050/goku/","MobyGames")</x:f>
        <x:v>MobyGames</x:v>
      </x:c>
      <x:c r="BB460" s="9"/>
      <x:c r="BC460" s="9"/>
      <x:c r="BD460" s="9"/>
      <x:c r="BE460" s="11" t="str">
        <x:f>HYPERLINK("https://en.wikipedia.org/wiki/LaserActive","Wikipedia")</x:f>
        <x:v>Wikipedia</x:v>
      </x:c>
      <x:c r="BF460" s="11" t="str">
        <x:f>HYPERLINK("https://backloggd.com/search/games/Goku/","Backloggd")</x:f>
        <x:v>Backloggd</x:v>
      </x:c>
      <x:c r="BG460" s="9"/>
      <x:c r="BH460" s="9"/>
      <x:c r="BI460" s="12" t="str">
        <x:v>No</x:v>
      </x:c>
      <x:c r="BJ460" s="12" t="str"/>
      <x:c r="BK460" s="12" t="str">
        <x:v>No</x:v>
      </x:c>
      <x:c r="BL460" s="12" t="str"/>
      <x:c r="BM460" s="12" t="str"/>
      <x:c r="BN460" s="12" t="str"/>
      <x:c r="BO460" s="12" t="str"/>
      <x:c r="BP460" s="12" t="str"/>
      <x:c r="BQ460" s="12" t="str"/>
    </x:row>
    <x:row r="461">
      <x:c r="A461" s="9" t="str">
        <x:v>laseractive-10</x:v>
      </x:c>
      <x:c r="B461" s="9" t="str">
        <x:v>triad-stone</x:v>
      </x:c>
      <x:c r="C461" s="9" t="str">
        <x:v>Pioneer LaserActive</x:v>
      </x:c>
      <x:c r="D461" s="9" t="str">
        <x:v>Triad Stone</x:v>
      </x:c>
      <x:c r="E461" s="9" t="str">
        <x:v>Strahl: Himerareshi Nanatsu no Hikari (3DO/Saturn); トライアッドストーン</x:v>
      </x:c>
      <x:c r="F461" s="9" t="str">
        <x:v>Data East (game; animation by Toei Animation); LaserActive version credited to Sega (verify split)</x:v>
      </x:c>
      <x:c r="G461" s="9" t="str">
        <x:v>Pioneer (JP/NA)</x:v>
      </x:c>
      <x:c r="H461" s="9" t="n">
        <x:v>1994</x:v>
      </x:c>
      <x:c r="I461" s="9" t="str">
        <x:v>Yes</x:v>
      </x:c>
      <x:c r="J461" s="9" t="str">
        <x:v>Yes</x:v>
      </x:c>
      <x:c r="K461" s="9" t="str">
        <x:v>No</x:v>
      </x:c>
      <x:c r="L461" s="9" t="str">
        <x:v>No</x:v>
      </x:c>
      <x:c r="M461" s="9" t="str">
        <x:v>Interactive movie (Dragon's Lair-style QTE)</x:v>
      </x:c>
      <x:c r="N461" s="9" t="str">
        <x:v>Animated</x:v>
      </x:c>
      <x:c r="O461" s="9" t="n">
        <x:v>10</x:v>
      </x:c>
      <x:c r="P461" s="9" t="str">
        <x:v>Interactive movie</x:v>
      </x:c>
      <x:c r="Q461" s="9" t="str">
        <x:v>Released</x:v>
      </x:c>
      <x:c r="R461" s="9" t="str">
        <x:v>Shelved 1985 Data East arcade laserdisc project 'Chantze's Stone', revived ~1993</x:v>
      </x:c>
      <x:c r="S461" s="9" t="str">
        <x:v>3DO (as Strahl, JP 1994 / NA 1995), Sega Saturn (Strahl, JP)</x:v>
      </x:c>
      <x:c r="T461" s="9" t="str">
        <x:v>—</x:v>
      </x:c>
      <x:c r="U461" s="9" t="n">
        <x:v>1</x:v>
      </x:c>
      <x:c r="V461" s="9" t="str">
        <x:v>No</x:v>
      </x:c>
      <x:c r="W461" s="9" t="str">
        <x:v>Sega PAC (PAC-S1/PAC-S10) required</x:v>
      </x:c>
      <x:c r="X461" s="9" t="str">
        <x:v>Low</x:v>
      </x:c>
      <x:c r="Y461" s="9" t="str"/>
      <x:c r="Z461" s="9" t="str">
        <x:v>30–60 min</x:v>
      </x:c>
      <x:c r="AA461" s="9" t="str">
        <x:v>A lost 1985 Data East laserdisc game finally finished as a Toei-animated quest for seven stone fragments, and this is its best version.</x:v>
      </x:c>
      <x:c r="AB461" s="9" t="str">
        <x:v>None known</x:v>
      </x:c>
      <x:c r="AC461" s="9" t="str">
        <x:v>Full-screen analog laserdisc video (near broadcast quality, 30 fps) with Mega Drive prompt overlays</x:v>
      </x:c>
      <x:c r="AD461" s="9" t="str">
        <x:v>Three difficulty settings; prompts are generally lenient (EGM called the 3DO version too easy)</x:v>
      </x:c>
      <x:c r="AE461" s="9" t="str">
        <x:v>Eight stages, first three chosen in any order; GamePro noted different endings come from stage order (verify)</x:v>
      </x:c>
      <x:c r="AF461" s="9" t="str">
        <x:v>Only the LaserActive version has scoring, difficulty select, voice cues like 'Power up!' and an English/Japanese language option.</x:v>
      </x:c>
      <x:c r="AG461" s="9" t="str">
        <x:v>JP PEASJ5014, NA PEASU5014</x:v>
      </x:c>
      <x:c r="AH461" s="9" t="str">
        <x:v>No</x:v>
      </x:c>
      <x:c r="AI461" s="9" t="str">
        <x:v>Expensive</x:v>
      </x:c>
      <x:c r="AJ461" s="9" t="str">
        <x:v>Original hardware: CLD-A100 (or NEC PCE-LD1) with the Sega PAC (PAC-S1 JP / PAC-S10 NA). Emulation: ares v146 (Aug 2025) runs Mega LD and v147 (Dec 2025) runs LD-ROM², from Domesday Duplicator captures (.mmi, about 30 GB per side); this title per the ares compatibility list, checked 2026-10-24: US disc dumped, Completable Unverified; JP disc (listed as Strahl) undumped. Same game as 3DO Strahl (NA 1995, cheaper, but no score or difficulty select) and Saturn Strahl (JP).</x:v>
      </x:c>
      <x:c r="AK461" s="9" t="str">
        <x:v>English playable: in-game English/Japanese language option. JP release date 25 Mar 1994 per Wikipedia's LaserActive list; the Strahl article gives 30 Dec 1993 (verify). Fan wiki calls it one of the few LaserActive gems.</x:v>
      </x:c>
      <x:c r="AL461" s="10" t="n">
        <x:v>150</x:v>
      </x:c>
      <x:c r="AM461" s="10" t="n">
        <x:v>394.84</x:v>
      </x:c>
      <x:c r="AN461" s="10" t="n">
        <x:v>537.5</x:v>
      </x:c>
      <x:c r="AO461" s="9" t="str">
        <x:v>2026-10-24</x:v>
      </x:c>
      <x:c r="AP461" s="11" t="str">
        <x:f>HYPERLINK("https://www.pricecharting.com/game/laseractive/triad-stone","PriceCharting")</x:f>
        <x:v>PriceCharting</x:v>
      </x:c>
      <x:c r="AQ461" s="9"/>
      <x:c r="AR461" s="9"/>
      <x:c r="AS461" s="9"/>
      <x:c r="AT461" s="9"/>
      <x:c r="AU461" s="9"/>
      <x:c r="AV461" s="9"/>
      <x:c r="AW461" s="9"/>
      <x:c r="AX461" s="9"/>
      <x:c r="AY461" s="9"/>
      <x:c r="AZ461" s="9"/>
      <x:c r="BA461" s="11" t="str">
        <x:f>HYPERLINK("https://www.mobygames.com/game/38356/triad-stone/","MobyGames")</x:f>
        <x:v>MobyGames</x:v>
      </x:c>
      <x:c r="BB461" s="9"/>
      <x:c r="BC461" s="9"/>
      <x:c r="BD461" s="9"/>
      <x:c r="BE461" s="11" t="str">
        <x:f>HYPERLINK("https://en.wikipedia.org/wiki/Strahl_(video_game)","Wikipedia")</x:f>
        <x:v>Wikipedia</x:v>
      </x:c>
      <x:c r="BF461" s="11" t="str">
        <x:f>HYPERLINK("https://backloggd.com/search/games/Triad%20Stone/","Backloggd")</x:f>
        <x:v>Backloggd</x:v>
      </x:c>
      <x:c r="BG461" s="9"/>
      <x:c r="BH461" s="9"/>
      <x:c r="BI461" s="12" t="str">
        <x:v>No</x:v>
      </x:c>
      <x:c r="BJ461" s="12" t="str"/>
      <x:c r="BK461" s="12" t="str">
        <x:v>No</x:v>
      </x:c>
      <x:c r="BL461" s="12" t="str"/>
      <x:c r="BM461" s="12" t="str"/>
      <x:c r="BN461" s="12" t="str"/>
      <x:c r="BO461" s="12" t="str"/>
      <x:c r="BP461" s="12" t="str"/>
      <x:c r="BQ461" s="12" t="str"/>
    </x:row>
    <x:row r="462">
      <x:c r="A462" s="9" t="str">
        <x:v>laseractive-11</x:v>
      </x:c>
      <x:c r="B462" s="9" t="str">
        <x:v>don-quixote-a-dream-in-seven-crystals</x:v>
      </x:c>
      <x:c r="C462" s="9" t="str">
        <x:v>Pioneer LaserActive</x:v>
      </x:c>
      <x:c r="D462" s="9" t="str">
        <x:v>Don Quixote: A Dream in Seven Crystals</x:v>
      </x:c>
      <x:c r="E462" s="9" t="str">
        <x:v>ドン・キホーテ</x:v>
      </x:c>
      <x:c r="F462" s="9" t="str">
        <x:v>Pluriel International (per JP listing; Sega Does credits 'Premier International') (verify)</x:v>
      </x:c>
      <x:c r="G462" s="9" t="str">
        <x:v>Pioneer (JP/NA)</x:v>
      </x:c>
      <x:c r="H462" s="9" t="n">
        <x:v>1994</x:v>
      </x:c>
      <x:c r="I462" s="9" t="str">
        <x:v>Yes</x:v>
      </x:c>
      <x:c r="J462" s="9" t="str">
        <x:v>Yes</x:v>
      </x:c>
      <x:c r="K462" s="9" t="str">
        <x:v>No</x:v>
      </x:c>
      <x:c r="L462" s="9" t="str">
        <x:v>No</x:v>
      </x:c>
      <x:c r="M462" s="9" t="str">
        <x:v>First-person RPG</x:v>
      </x:c>
      <x:c r="N462" s="9" t="str">
        <x:v>Pre-rendered CG</x:v>
      </x:c>
      <x:c r="O462" s="9" t="n">
        <x:v>6</x:v>
      </x:c>
      <x:c r="P462" s="9" t="str">
        <x:v>FMV adventure</x:v>
      </x:c>
      <x:c r="Q462" s="9" t="str">
        <x:v>Released</x:v>
      </x:c>
      <x:c r="R462" s="9" t="str">
        <x:v>Original production (loosely based on Cervantes)</x:v>
      </x:c>
      <x:c r="S462" s="9" t="str">
        <x:v>None</x:v>
      </x:c>
      <x:c r="T462" s="9" t="str">
        <x:v>—</x:v>
      </x:c>
      <x:c r="U462" s="9" t="n">
        <x:v>1</x:v>
      </x:c>
      <x:c r="V462" s="9" t="str">
        <x:v>Unknown — verify</x:v>
      </x:c>
      <x:c r="W462" s="9" t="str">
        <x:v>Sega PAC (PAC-S1/PAC-S10) required</x:v>
      </x:c>
      <x:c r="X462" s="9" t="str">
        <x:v>Low</x:v>
      </x:c>
      <x:c r="Y462" s="9" t="str"/>
      <x:c r="Z462" s="9" t="str">
        <x:v>Unknown — verify</x:v>
      </x:c>
      <x:c r="AA462" s="9" t="str">
        <x:v>The LaserActive's first RPG: Don Quixote hunts seven crystal balls through video corridors and unskippable FMV conversations.</x:v>
      </x:c>
      <x:c r="AB462" s="9" t="str">
        <x:v>None known</x:v>
      </x:c>
      <x:c r="AC462" s="9" t="str">
        <x:v>Full-screen laserdisc video for exploration corridors, dialogue and battle animation; characters mostly still art with flapping mouths</x:v>
      </x:c>
      <x:c r="AD462" s="9" t="str">
        <x:v>Slow pacing rather than hard; menu-based combat</x:v>
      </x:c>
      <x:c r="AE462" s="9" t="str">
        <x:v>Unknown — verify</x:v>
      </x:c>
      <x:c r="AF462" s="9" t="str">
        <x:v>Box art is hand-drawn but the in-game look differs; story departs heavily from the novel.</x:v>
      </x:c>
      <x:c r="AG462" s="9" t="str">
        <x:v>JP PEASJ5022, NA PEASU5022</x:v>
      </x:c>
      <x:c r="AH462" s="9" t="str">
        <x:v>No</x:v>
      </x:c>
      <x:c r="AI462" s="9" t="str">
        <x:v>Expensive</x:v>
      </x:c>
      <x:c r="AJ462" s="9" t="str">
        <x:v>Original hardware: CLD-A100 (or NEC PCE-LD1) with the Sega PAC (PAC-S1 JP / PAC-S10 NA). Emulation: ares v146 (Aug 2025) runs Mega LD and v147 (Dec 2025) runs LD-ROM², from Domesday Duplicator captures (.mmi, about 30 GB per side); this title per the ares compatibility list, checked 2026-10-24: US disc dumped, Completable Unverified; JP disc undumped. No port elsewhere; the US disc is the English one.</x:v>
      </x:c>
      <x:c r="AK462" s="9" t="str">
        <x:v>English playable on the NA disc (English audio and text); JP disc is Japanese-only. NA year given as 1994 by Wikipedia, 1995 by Sega Does (verify). Video type (CG vs drawn) unconfirmed (verify). Sega Does grade: D-.</x:v>
      </x:c>
      <x:c r="AL462" s="10" t="n">
        <x:v>552.74</x:v>
      </x:c>
      <x:c r="AM462" s="10" t="n">
        <x:v>4500</x:v>
      </x:c>
      <x:c r="AN462" s="10" t="n">
        <x:v>9000</x:v>
      </x:c>
      <x:c r="AO462" s="9" t="str">
        <x:v>2026-10-24</x:v>
      </x:c>
      <x:c r="AP462" s="11" t="str">
        <x:f>HYPERLINK("https://www.pricecharting.com/game/laseractive/don-quixote-a-dream-in-seven-crystals","PriceCharting")</x:f>
        <x:v>PriceCharting</x:v>
      </x:c>
      <x:c r="AQ462" s="9"/>
      <x:c r="AR462" s="9"/>
      <x:c r="AS462" s="9"/>
      <x:c r="AT462" s="9"/>
      <x:c r="AU462" s="9"/>
      <x:c r="AV462" s="9"/>
      <x:c r="AW462" s="9"/>
      <x:c r="AX462" s="9"/>
      <x:c r="AY462" s="9"/>
      <x:c r="AZ462" s="9"/>
      <x:c r="BA462" s="11" t="str">
        <x:f>HYPERLINK("https://www.mobygames.com/search/?q=Don+Quixote%3A+A+Dream+in+Seven+Crystals","MobyGames")</x:f>
        <x:v>MobyGames</x:v>
      </x:c>
      <x:c r="BB462" s="9"/>
      <x:c r="BC462" s="9"/>
      <x:c r="BD462" s="9"/>
      <x:c r="BE462" s="9"/>
      <x:c r="BF462" s="11" t="str">
        <x:f>HYPERLINK("https://backloggd.com/search/games/Don%20Quixote%3A%20A%20Dream%20in%20Seven%20Crystals/","Backloggd")</x:f>
        <x:v>Backloggd</x:v>
      </x:c>
      <x:c r="BG462" s="9"/>
      <x:c r="BH462" s="9"/>
      <x:c r="BI462" s="12" t="str">
        <x:v>No</x:v>
      </x:c>
      <x:c r="BJ462" s="12" t="str"/>
      <x:c r="BK462" s="12" t="str">
        <x:v>No</x:v>
      </x:c>
      <x:c r="BL462" s="12" t="str"/>
      <x:c r="BM462" s="12" t="str"/>
      <x:c r="BN462" s="12" t="str"/>
      <x:c r="BO462" s="12" t="str"/>
      <x:c r="BP462" s="12" t="str"/>
      <x:c r="BQ462" s="12" t="str"/>
    </x:row>
    <x:row r="463">
      <x:c r="A463" s="9" t="str">
        <x:v>laseractive-12</x:v>
      </x:c>
      <x:c r="B463" s="9" t="str">
        <x:v>i-will-the-story-of-london</x:v>
      </x:c>
      <x:c r="C463" s="9" t="str">
        <x:v>Pioneer LaserActive</x:v>
      </x:c>
      <x:c r="D463" s="9" t="str">
        <x:v>I Will: The Story of London</x:v>
      </x:c>
      <x:c r="E463" s="9" t="str"/>
      <x:c r="F463" s="9" t="str">
        <x:v>CRC Research Institute</x:v>
      </x:c>
      <x:c r="G463" s="9" t="str">
        <x:v>Pioneer (JP/NA)</x:v>
      </x:c>
      <x:c r="H463" s="9" t="n">
        <x:v>1993</x:v>
      </x:c>
      <x:c r="I463" s="9" t="str">
        <x:v>Yes</x:v>
      </x:c>
      <x:c r="J463" s="9" t="str">
        <x:v>Yes</x:v>
      </x:c>
      <x:c r="K463" s="9" t="str">
        <x:v>No</x:v>
      </x:c>
      <x:c r="L463" s="9" t="str">
        <x:v>No</x:v>
      </x:c>
      <x:c r="M463" s="9" t="str">
        <x:v>Point-and-click adventure</x:v>
      </x:c>
      <x:c r="N463" s="9" t="str">
        <x:v>Live-action</x:v>
      </x:c>
      <x:c r="O463" s="9" t="n">
        <x:v>7</x:v>
      </x:c>
      <x:c r="P463" s="9" t="str">
        <x:v>FMV adventure</x:v>
      </x:c>
      <x:c r="Q463" s="9" t="str">
        <x:v>Released</x:v>
      </x:c>
      <x:c r="R463" s="9" t="str">
        <x:v>Original production</x:v>
      </x:c>
      <x:c r="S463" s="9" t="str">
        <x:v>None</x:v>
      </x:c>
      <x:c r="T463" s="9" t="str">
        <x:v>—</x:v>
      </x:c>
      <x:c r="U463" s="9" t="n">
        <x:v>1</x:v>
      </x:c>
      <x:c r="V463" s="9" t="str">
        <x:v>Unknown — verify</x:v>
      </x:c>
      <x:c r="W463" s="9" t="str">
        <x:v>Sega PAC (PAC-S1/PAC-S10) required</x:v>
      </x:c>
      <x:c r="X463" s="9" t="str">
        <x:v>Low</x:v>
      </x:c>
      <x:c r="Y463" s="9" t="str"/>
      <x:c r="Z463" s="9" t="str">
        <x:v>Unknown — verify</x:v>
      </x:c>
      <x:c r="AA463" s="9" t="str">
        <x:v>A LaserActive launch title where you drive around a 16-bit London map clicking on amateur live-action clips to recover a stolen formula.</x:v>
      </x:c>
      <x:c r="AB463" s="9" t="str">
        <x:v>None known</x:v>
      </x:c>
      <x:c r="AC463" s="9" t="str">
        <x:v>Full-screen live-action laserdisc clips with a Mega Drive cursor overlay; 16-bit map screens between</x:v>
      </x:c>
      <x:c r="AD463" s="9" t="str">
        <x:v>Obtuse: little instruction, a time limit and limited cash for travel</x:v>
      </x:c>
      <x:c r="AE463" s="9" t="str">
        <x:v>Unknown — verify</x:v>
      </x:c>
      <x:c r="AF463" s="9" t="str">
        <x:v>You help scientist Catherine and a doctor; Catherine's police-officer father gives cryptic hints like 'look for a man with two umbrellas'.</x:v>
      </x:c>
      <x:c r="AG463" s="9" t="str">
        <x:v>JP PEASJ1001 (20 Aug 1993), NA PEASU1001 (23 Dec 1993)</x:v>
      </x:c>
      <x:c r="AH463" s="9" t="str">
        <x:v>No</x:v>
      </x:c>
      <x:c r="AI463" s="9" t="str">
        <x:v>Expensive</x:v>
      </x:c>
      <x:c r="AJ463" s="9" t="str">
        <x:v>Original hardware: CLD-A100 (or NEC PCE-LD1) with the Sega PAC (PAC-S1 JP / PAC-S10 NA). Emulation: ares v146 (Aug 2025) runs Mega LD and v147 (Dec 2025) runs LD-ROM², from Domesday Duplicator captures (.mmi, about 30 GB per side); this title per the ares compatibility list, checked 2026-10-24: JP disc dumped, Completable Unverified; US disc undumped. No other release.</x:v>
      </x:c>
      <x:c r="AK463" s="9" t="str">
        <x:v>LaserActive launch title. NA disc presumably English audio; JP disc language unconfirmed (verify). Sega Does grade: F.</x:v>
      </x:c>
      <x:c r="AL463" s="10" t="n">
        <x:v>107.5</x:v>
      </x:c>
      <x:c r="AM463" s="10"/>
      <x:c r="AN463" s="10" t="n">
        <x:v>133.64</x:v>
      </x:c>
      <x:c r="AO463" s="9" t="str">
        <x:v>2026-10-24</x:v>
      </x:c>
      <x:c r="AP463" s="11" t="str">
        <x:f>HYPERLINK("https://www.pricecharting.com/game/laseractive/i-will-the-story-of-london","PriceCharting")</x:f>
        <x:v>PriceCharting</x:v>
      </x:c>
      <x:c r="AQ463" s="9"/>
      <x:c r="AR463" s="9"/>
      <x:c r="AS463" s="9"/>
      <x:c r="AT463" s="9"/>
      <x:c r="AU463" s="9"/>
      <x:c r="AV463" s="9"/>
      <x:c r="AW463" s="9"/>
      <x:c r="AX463" s="9"/>
      <x:c r="AY463" s="9"/>
      <x:c r="AZ463" s="9"/>
      <x:c r="BA463" s="11" t="str">
        <x:f>HYPERLINK("https://www.mobygames.com/search/?q=I+Will%3A+The+Story+of+London","MobyGames")</x:f>
        <x:v>MobyGames</x:v>
      </x:c>
      <x:c r="BB463" s="9"/>
      <x:c r="BC463" s="9"/>
      <x:c r="BD463" s="9"/>
      <x:c r="BE463" s="9"/>
      <x:c r="BF463" s="11" t="str">
        <x:f>HYPERLINK("https://backloggd.com/search/games/I%20Will%3A%20The%20Story%20of%20London/","Backloggd")</x:f>
        <x:v>Backloggd</x:v>
      </x:c>
      <x:c r="BG463" s="9"/>
      <x:c r="BH463" s="9"/>
      <x:c r="BI463" s="12" t="str">
        <x:v>No</x:v>
      </x:c>
      <x:c r="BJ463" s="12" t="str"/>
      <x:c r="BK463" s="12" t="str">
        <x:v>No</x:v>
      </x:c>
      <x:c r="BL463" s="12" t="str"/>
      <x:c r="BM463" s="12" t="str"/>
      <x:c r="BN463" s="12" t="str"/>
      <x:c r="BO463" s="12" t="str"/>
      <x:c r="BP463" s="12" t="str"/>
      <x:c r="BQ463" s="12" t="str"/>
    </x:row>
    <x:row r="464">
      <x:c r="A464" s="9" t="str">
        <x:v>laseractive-13</x:v>
      </x:c>
      <x:c r="B464" s="9" t="str">
        <x:v>jb-harold-blue-chicago-blues</x:v>
      </x:c>
      <x:c r="C464" s="9" t="str">
        <x:v>Pioneer LaserActive</x:v>
      </x:c>
      <x:c r="D464" s="9" t="str">
        <x:v>J.B. Harold: Blue Chicago Blues</x:v>
      </x:c>
      <x:c r="E464" s="9" t="str">
        <x:v>ブルー・シカゴ・ブルース; Keiji J.B. Harold no Jikenbo: Blue Chicago Blues</x:v>
      </x:c>
      <x:c r="F464" s="9" t="str">
        <x:v>Riverhill Soft</x:v>
      </x:c>
      <x:c r="G464" s="9" t="str">
        <x:v>Riverhill Soft / Pioneer (JP), Pioneer (NA) (verify)</x:v>
      </x:c>
      <x:c r="H464" s="9" t="n">
        <x:v>1994</x:v>
      </x:c>
      <x:c r="I464" s="9" t="str">
        <x:v>Yes</x:v>
      </x:c>
      <x:c r="J464" s="9" t="str">
        <x:v>Yes</x:v>
      </x:c>
      <x:c r="K464" s="9" t="str">
        <x:v>No</x:v>
      </x:c>
      <x:c r="L464" s="9" t="str">
        <x:v>No</x:v>
      </x:c>
      <x:c r="M464" s="9" t="str">
        <x:v>Detective adventure</x:v>
      </x:c>
      <x:c r="N464" s="9" t="str">
        <x:v>Live-action</x:v>
      </x:c>
      <x:c r="O464" s="9" t="n">
        <x:v>8</x:v>
      </x:c>
      <x:c r="P464" s="9" t="str">
        <x:v>FMV adventure</x:v>
      </x:c>
      <x:c r="Q464" s="9" t="str">
        <x:v>Released</x:v>
      </x:c>
      <x:c r="R464" s="9" t="str">
        <x:v>Original production; 4th J.B. Harold case (series began on PC in 1986)</x:v>
      </x:c>
      <x:c r="S464" s="9" t="str">
        <x:v>Windows PC, PC-FX, Sega Saturn (JP), PlayStation (JP), 3DO (verify)</x:v>
      </x:c>
      <x:c r="T464" s="9" t="str">
        <x:v>Unknown — verify</x:v>
      </x:c>
      <x:c r="U464" s="9" t="n">
        <x:v>1</x:v>
      </x:c>
      <x:c r="V464" s="9" t="str">
        <x:v>Unknown — verify</x:v>
      </x:c>
      <x:c r="W464" s="9" t="str">
        <x:v>Mega LD: Sega PAC (PAC-S1/PAC-S10) required; LD-ROM²: NEC PAC (PAC-N1/PAC-N10) required</x:v>
      </x:c>
      <x:c r="X464" s="9" t="str">
        <x:v>Low–Med</x:v>
      </x:c>
      <x:c r="Y464" s="9" t="str">
        <x:v>Blues/jazz soundtrack (likely original, verify)</x:v>
      </x:c>
      <x:c r="Z464" s="9" t="str">
        <x:v>3–5 hr (verify)</x:v>
      </x:c>
      <x:c r="AA464" s="9" t="str">
        <x:v>Riverhill's live-action detective drama shot with American actors, a Hotel Dusk precursor that started on LaserActive.</x:v>
      </x:c>
      <x:c r="AB464" s="9" t="str">
        <x:v>None known</x:v>
      </x:c>
      <x:c r="AC464" s="9" t="str">
        <x:v>Full-screen live-action laserdisc video with menu overlays</x:v>
      </x:c>
      <x:c r="AD464" s="9" t="str">
        <x:v>Command-menu investigation; moderate</x:v>
      </x:c>
      <x:c r="AE464" s="9" t="str">
        <x:v>Unknown — verify</x:v>
      </x:c>
      <x:c r="AF464" s="9" t="str">
        <x:v>The LaserActive release came first; Riverhill then ported it widely. A Saturn fan translation (Arjak, v0.1 demo Nov 2022) reinserts the PC port's English dialogue but has stalled.</x:v>
      </x:c>
      <x:c r="AG464" s="9" t="str">
        <x:v>LD-ROM² JP PEANJ5017 (20 Dec 1994); Mega LD JP PEASJ5036 (15 Apr 1995); Mega LD NA PEASU5036 (1995). PS 'Riverhill Soft Best' reprint.</x:v>
      </x:c>
      <x:c r="AH464" s="9" t="str">
        <x:v>No (verify)</x:v>
      </x:c>
      <x:c r="AI464" s="9" t="str">
        <x:v>Expensive</x:v>
      </x:c>
      <x:c r="AJ464" s="9" t="str">
        <x:v>Original hardware: CLD-A100 (or NEC PCE-LD1) with the Sega PAC (PAC-S1 JP / PAC-S10 NA); the JP LD-ROM² disc needs CLD-A100 with the NEC PAC (PAC-N1 JP / PAC-N10 NA), or NEC PCE-LD1. Emulation: ares v146 (Aug 2025) runs Mega LD and v147 (Dec 2025) runs LD-ROM², from Domesday Duplicator captures (.mmi, about 30 GB per side); this title per the ares compatibility list, checked 2026-10-24: JP Mega LD disc dumped, Completable Unverified; JP LD-ROM² and US Mega LD discs undumped. Two-sided disc: use Mega LD &gt; Change Sides. Other versions: Windows PC (English, verify), Saturn, PlayStation and PC-FX (Japanese).</x:v>
      </x:c>
      <x:c r="AK464" s="9" t="str">
        <x:v>English playable: dialogue is English-language performance; NA Mega LD disc is in English. Check whether JP discs carry English audio with Japanese subtitles (verify). NA disc is a late, scarce release.</x:v>
      </x:c>
      <x:c r="AL464" s="10" t="n">
        <x:v>499</x:v>
      </x:c>
      <x:c r="AM464" s="10" t="n">
        <x:v>1024.51</x:v>
      </x:c>
      <x:c r="AN464" s="10" t="n">
        <x:v>2049</x:v>
      </x:c>
      <x:c r="AO464" s="9" t="str">
        <x:v>2026-10-24</x:v>
      </x:c>
      <x:c r="AP464" s="11" t="str">
        <x:f>HYPERLINK("https://www.pricecharting.com/game/laseractive/jb-harold-blue-chicago-blues","PriceCharting")</x:f>
        <x:v>PriceCharting</x:v>
      </x:c>
      <x:c r="AQ464" s="9"/>
      <x:c r="AR464" s="9"/>
      <x:c r="AS464" s="9"/>
      <x:c r="AT464" s="9"/>
      <x:c r="AU464" s="9"/>
      <x:c r="AV464" s="9"/>
      <x:c r="AW464" s="9"/>
      <x:c r="AX464" s="9"/>
      <x:c r="AY464" s="9"/>
      <x:c r="AZ464" s="9" t="str">
        <x:v>5.0</x:v>
      </x:c>
      <x:c r="BA464" s="11" t="str">
        <x:f>HYPERLINK("https://www.mobygames.com/game/laseractive/jb-harold-blue-chicago-blues","MobyGames")</x:f>
        <x:v>MobyGames</x:v>
      </x:c>
      <x:c r="BB464" s="9"/>
      <x:c r="BC464" s="9"/>
      <x:c r="BD464" s="9"/>
      <x:c r="BE464" s="9"/>
      <x:c r="BF464" s="11" t="str">
        <x:f>HYPERLINK("https://backloggd.com/search/games/J.B.%20Harold%3A%20Blue%20Chicago%20Blues/","Backloggd")</x:f>
        <x:v>Backloggd</x:v>
      </x:c>
      <x:c r="BG464" s="9"/>
      <x:c r="BH464" s="9"/>
      <x:c r="BI464" s="12" t="str">
        <x:v>No</x:v>
      </x:c>
      <x:c r="BJ464" s="12" t="str"/>
      <x:c r="BK464" s="12" t="str">
        <x:v>No</x:v>
      </x:c>
      <x:c r="BL464" s="12" t="str"/>
      <x:c r="BM464" s="12" t="str"/>
      <x:c r="BN464" s="12" t="str"/>
      <x:c r="BO464" s="12" t="str"/>
      <x:c r="BP464" s="12" t="str"/>
      <x:c r="BQ464" s="12" t="str"/>
    </x:row>
    <x:row r="465">
      <x:c r="A465" s="9" t="str">
        <x:v>laseractive-14</x:v>
      </x:c>
      <x:c r="B465" s="9" t="str">
        <x:v>manhattan-requiem</x:v>
      </x:c>
      <x:c r="C465" s="9" t="str">
        <x:v>Pioneer LaserActive</x:v>
      </x:c>
      <x:c r="D465" s="9" t="str">
        <x:v>J.B. Harold: Manhattan Requiem</x:v>
      </x:c>
      <x:c r="E465" s="9" t="str">
        <x:v>マンハッタン・レクイエム; Manhattan Requiem: Angels Flying in the Dark</x:v>
      </x:c>
      <x:c r="F465" s="9" t="str">
        <x:v>Riverhill Soft</x:v>
      </x:c>
      <x:c r="G465" s="9" t="str">
        <x:v>Riverhill Soft / Pioneer (JP), Pioneer (NA) (verify)</x:v>
      </x:c>
      <x:c r="H465" s="9" t="n">
        <x:v>1993</x:v>
      </x:c>
      <x:c r="I465" s="9" t="str">
        <x:v>Yes</x:v>
      </x:c>
      <x:c r="J465" s="9" t="str">
        <x:v>Yes</x:v>
      </x:c>
      <x:c r="K465" s="9" t="str">
        <x:v>No</x:v>
      </x:c>
      <x:c r="L465" s="9" t="str">
        <x:v>No</x:v>
      </x:c>
      <x:c r="M465" s="9" t="str">
        <x:v>Detective adventure</x:v>
      </x:c>
      <x:c r="N465" s="9" t="str">
        <x:v>Live-action</x:v>
      </x:c>
      <x:c r="O465" s="9" t="n">
        <x:v>5</x:v>
      </x:c>
      <x:c r="P465" s="9" t="str">
        <x:v>FMV adventure</x:v>
      </x:c>
      <x:c r="Q465" s="9" t="str">
        <x:v>Released</x:v>
      </x:c>
      <x:c r="R465" s="9" t="str">
        <x:v>Remake of Riverhill's 1987 PC-88 adventure (J.B. Harold #2)</x:v>
      </x:c>
      <x:c r="S465" s="9" t="str">
        <x:v>PC-88/PC-98/MSX2 and others (original game); PC Engine CD, Nintendo DS, iOS, Switch EGGCONSOLE (PC-88 version) — different versions</x:v>
      </x:c>
      <x:c r="T465" s="9" t="str">
        <x:v>Richard Hench (per FilmAffinity; role unverified)</x:v>
      </x:c>
      <x:c r="U465" s="9" t="n">
        <x:v>1</x:v>
      </x:c>
      <x:c r="V465" s="9" t="str">
        <x:v>Unknown — verify</x:v>
      </x:c>
      <x:c r="W465" s="9" t="str">
        <x:v>NEC PAC (PAC-N1/PAC-N10) required</x:v>
      </x:c>
      <x:c r="X465" s="9" t="str">
        <x:v>Low–Med</x:v>
      </x:c>
      <x:c r="Y465" s="9" t="str">
        <x:v>Jazz soundtrack (likely original, verify)</x:v>
      </x:c>
      <x:c r="Z465" s="9" t="str">
        <x:v>2–4 hr (verify)</x:v>
      </x:c>
      <x:c r="AA465" s="9" t="str">
        <x:v>Detective J.B. Harold investigates a New York pianist's 'suicide' in the noir case that defined Riverhill's series, rebuilt for laserdisc.</x:v>
      </x:c>
      <x:c r="AB465" s="9" t="str">
        <x:v>None known</x:v>
      </x:c>
      <x:c r="AC465" s="9" t="str">
        <x:v>Full-screen laserdisc video/stills with PC Engine menu overlays (verify how much is motion video)</x:v>
      </x:c>
      <x:c r="AD465" s="9" t="str">
        <x:v>Command-menu investigation; moderate</x:v>
      </x:c>
      <x:c r="AE465" s="9" t="str">
        <x:v>Unknown — verify</x:v>
      </x:c>
      <x:c r="AF465" s="9" t="str">
        <x:v>Directed and written by Rika Suzuki per FilmAffinity, which lists the 1993 disc as a film-style 'FMV game' with music by Yoshihiko Miyazaki.</x:v>
      </x:c>
      <x:c r="AG465" s="9" t="str">
        <x:v>JP PEANJ5004 (25 Oct 1993), NA PEANU5004 (1993)</x:v>
      </x:c>
      <x:c r="AH465" s="9" t="str">
        <x:v>No</x:v>
      </x:c>
      <x:c r="AI465" s="9" t="str">
        <x:v>Expensive</x:v>
      </x:c>
      <x:c r="AJ465" s="9" t="str">
        <x:v>Original hardware: CLD-A100 with the NEC PAC (PAC-N1 JP / PAC-N10 NA), or NEC PCE-LD1. Emulation: ares v146 (Aug 2025) runs Mega LD and v147 (Dec 2025) runs LD-ROM², from Domesday Duplicator captures (.mmi, about 30 GB per side); this title per the ares compatibility list, checked 2026-10-24: JP disc dumped, In-Game with sound and graphics glitches; US disc undumped. The original PC-88 game is on Switch (EGGCONSOLE) in English, but that version has no video.</x:v>
      </x:c>
      <x:c r="AK465" s="9" t="str">
        <x:v>NA disc implies an English release (verify English audio/text). Video type is the weakest point: FilmAffinity tags it 'Animation' and 'FMV Game'; confirm live-action vs drawn/photo stills and adjust fmv (verify).</x:v>
      </x:c>
      <x:c r="AL465" s="10" t="n">
        <x:v>199.99</x:v>
      </x:c>
      <x:c r="AM465" s="10" t="n">
        <x:v>439.98</x:v>
      </x:c>
      <x:c r="AN465" s="10" t="n">
        <x:v>899.96</x:v>
      </x:c>
      <x:c r="AO465" s="9" t="str">
        <x:v>2026-10-24</x:v>
      </x:c>
      <x:c r="AP465" s="11" t="str">
        <x:f>HYPERLINK("https://www.pricecharting.com/game/laseractive/manhattan-requiem-ld-rom2","PriceCharting")</x:f>
        <x:v>PriceCharting</x:v>
      </x:c>
      <x:c r="AQ465" s="9"/>
      <x:c r="AR465" s="9"/>
      <x:c r="AS465" s="9"/>
      <x:c r="AT465" s="9"/>
      <x:c r="AU465" s="9"/>
      <x:c r="AV465" s="9"/>
      <x:c r="AW465" s="9"/>
      <x:c r="AX465" s="9"/>
      <x:c r="AY465" s="9"/>
      <x:c r="AZ465" s="9"/>
      <x:c r="BA465" s="11" t="str">
        <x:f>HYPERLINK("https://www.mobygames.com/search/?q=J.B.+Harold%3A+Manhattan+Requiem","MobyGames")</x:f>
        <x:v>MobyGames</x:v>
      </x:c>
      <x:c r="BB465" s="9"/>
      <x:c r="BC465" s="9"/>
      <x:c r="BD465" s="9"/>
      <x:c r="BE465" s="11" t="str">
        <x:f>HYPERLINK("https://en.wikipedia.org/wiki/J.B._Harold_Murder_Club","Wikipedia")</x:f>
        <x:v>Wikipedia</x:v>
      </x:c>
      <x:c r="BF465" s="11" t="str">
        <x:f>HYPERLINK("https://backloggd.com/search/games/J.B.%20Harold%3A%20Manhattan%20Requiem/","Backloggd")</x:f>
        <x:v>Backloggd</x:v>
      </x:c>
      <x:c r="BG465" s="9"/>
      <x:c r="BH465" s="9"/>
      <x:c r="BI465" s="12" t="str">
        <x:v>No</x:v>
      </x:c>
      <x:c r="BJ465" s="12" t="str"/>
      <x:c r="BK465" s="12" t="str">
        <x:v>No</x:v>
      </x:c>
      <x:c r="BL465" s="12" t="str"/>
      <x:c r="BM465" s="12" t="str"/>
      <x:c r="BN465" s="12" t="str"/>
      <x:c r="BO465" s="12" t="str"/>
      <x:c r="BP465" s="12" t="str"/>
      <x:c r="BQ465" s="12" t="str"/>
    </x:row>
    <x:row r="466">
      <x:c r="A466" s="9" t="str">
        <x:v>laseractive-15</x:v>
      </x:c>
      <x:c r="B466" s="9" t="str">
        <x:v>quiz-econosaurus</x:v>
      </x:c>
      <x:c r="C466" s="9" t="str">
        <x:v>Pioneer LaserActive</x:v>
      </x:c>
      <x:c r="D466" s="9" t="str">
        <x:v>Quiz Econosaurus</x:v>
      </x:c>
      <x:c r="E466" s="9" t="str">
        <x:v>クイズ・エコノザウルス</x:v>
      </x:c>
      <x:c r="F466" s="9" t="str">
        <x:v>Hudson Soft</x:v>
      </x:c>
      <x:c r="G466" s="9" t="str">
        <x:v>Pioneer (JP/NA)</x:v>
      </x:c>
      <x:c r="H466" s="9" t="n">
        <x:v>1993</x:v>
      </x:c>
      <x:c r="I466" s="9" t="str">
        <x:v>Yes</x:v>
      </x:c>
      <x:c r="J466" s="9" t="str">
        <x:v>Yes</x:v>
      </x:c>
      <x:c r="K466" s="9" t="str">
        <x:v>No</x:v>
      </x:c>
      <x:c r="L466" s="9" t="str">
        <x:v>No</x:v>
      </x:c>
      <x:c r="M466" s="9" t="str">
        <x:v>Quiz / board game</x:v>
      </x:c>
      <x:c r="N466" s="9" t="str">
        <x:v>Live-action + CG</x:v>
      </x:c>
      <x:c r="O466" s="9" t="n">
        <x:v>4</x:v>
      </x:c>
      <x:c r="P466" s="9" t="str">
        <x:v>Game show / trivia</x:v>
      </x:c>
      <x:c r="Q466" s="9" t="str">
        <x:v>Released</x:v>
      </x:c>
      <x:c r="R466" s="9" t="str">
        <x:v>Original production</x:v>
      </x:c>
      <x:c r="S466" s="9" t="str">
        <x:v>None</x:v>
      </x:c>
      <x:c r="T466" s="9" t="str">
        <x:v>—</x:v>
      </x:c>
      <x:c r="U466" s="9" t="n">
        <x:v>1</x:v>
      </x:c>
      <x:c r="V466" s="9" t="str">
        <x:v>Unknown — verify</x:v>
      </x:c>
      <x:c r="W466" s="9" t="str">
        <x:v>NEC PAC (PAC-N1/PAC-N10) required; multitap for 1–4 players (verify)</x:v>
      </x:c>
      <x:c r="X466" s="9" t="str">
        <x:v>Low</x:v>
      </x:c>
      <x:c r="Y466" s="9" t="str">
        <x:v>Nature/documentary footage (licensed, credited 'Imaging courtesy of Tele 2nd') (verify)</x:v>
      </x:c>
      <x:c r="Z466" s="9" t="str">
        <x:v>1–2 hr</x:v>
      </x:c>
      <x:c r="AA466" s="9" t="str">
        <x:v>Hudson's 1993 environmental quiz with dinosaurs: 1–4 players fight climate-science questions on a board-game map.</x:v>
      </x:c>
      <x:c r="AB466" s="9" t="str">
        <x:v>None known</x:v>
      </x:c>
      <x:c r="AC466" s="9" t="str">
        <x:v>Laserdisc video clips accompanying questions, PC Engine graphics for board and text (verify)</x:v>
      </x:c>
      <x:c r="AD466" s="9" t="str">
        <x:v>Very hard questions assuming climate-science knowledge</x:v>
      </x:c>
      <x:c r="AE466" s="9" t="str">
        <x:v>Unknown — verify</x:v>
      </x:c>
      <x:c r="AF466" s="9" t="str">
        <x:v>An eco-themed launch-window LD-ROM² title meant to raise awareness of environmental issues.</x:v>
      </x:c>
      <x:c r="AG466" s="9" t="str">
        <x:v>JP PEANJ5001 (20 Aug 1993), NA PEANU5001 (1993)</x:v>
      </x:c>
      <x:c r="AH466" s="9" t="str">
        <x:v>No</x:v>
      </x:c>
      <x:c r="AI466" s="9" t="str">
        <x:v>Expensive</x:v>
      </x:c>
      <x:c r="AJ466" s="9" t="str">
        <x:v>Original hardware: CLD-A100 with the NEC PAC (PAC-N1 JP / PAC-N10 NA), or NEC PCE-LD1. Emulation: ares v146 (Aug 2025) runs Mega LD and v147 (Dec 2025) runs LD-ROM², from Domesday Duplicator captures (.mmi, about 30 GB per side); this title per the ares compatibility list, checked 2026-10-24: JP disc dumped, Completable Unverified; US disc undumped. No other release.</x:v>
      </x:c>
      <x:c r="AK466" s="9" t="str">
        <x:v>LaserActive launch title. NA release implies English text/voice (verify). fmvType and fmv score unconfirmed (verify).</x:v>
      </x:c>
      <x:c r="AL466" s="10" t="n">
        <x:v>120</x:v>
      </x:c>
      <x:c r="AM466" s="10" t="n">
        <x:v>264</x:v>
      </x:c>
      <x:c r="AN466" s="10" t="n">
        <x:v>540</x:v>
      </x:c>
      <x:c r="AO466" s="9" t="str">
        <x:v>2026-10-24</x:v>
      </x:c>
      <x:c r="AP466" s="11" t="str">
        <x:f>HYPERLINK("https://www.pricecharting.com/game/laseractive/quiz-econosaurus-ld-rom2","PriceCharting")</x:f>
        <x:v>PriceCharting</x:v>
      </x:c>
      <x:c r="AQ466" s="9"/>
      <x:c r="AR466" s="9"/>
      <x:c r="AS466" s="9"/>
      <x:c r="AT466" s="9"/>
      <x:c r="AU466" s="9"/>
      <x:c r="AV466" s="9"/>
      <x:c r="AW466" s="9"/>
      <x:c r="AX466" s="9"/>
      <x:c r="AY466" s="9"/>
      <x:c r="AZ466" s="9"/>
      <x:c r="BA466" s="11" t="str">
        <x:f>HYPERLINK("https://mobygames.com/game/laseractive/quiz-econosaurus","MobyGames")</x:f>
        <x:v>MobyGames</x:v>
      </x:c>
      <x:c r="BB466" s="9"/>
      <x:c r="BC466" s="9"/>
      <x:c r="BD466" s="9"/>
      <x:c r="BE466" s="9"/>
      <x:c r="BF466" s="11" t="str">
        <x:f>HYPERLINK("https://backloggd.com/search/games/Quiz%20Econosaurus/","Backloggd")</x:f>
        <x:v>Backloggd</x:v>
      </x:c>
      <x:c r="BG466" s="9"/>
      <x:c r="BH466" s="9"/>
      <x:c r="BI466" s="12" t="str">
        <x:v>No</x:v>
      </x:c>
      <x:c r="BJ466" s="12" t="str"/>
      <x:c r="BK466" s="12" t="str">
        <x:v>No</x:v>
      </x:c>
      <x:c r="BL466" s="12" t="str"/>
      <x:c r="BM466" s="12" t="str"/>
      <x:c r="BN466" s="12" t="str"/>
      <x:c r="BO466" s="12" t="str"/>
      <x:c r="BP466" s="12" t="str"/>
      <x:c r="BQ466" s="12" t="str"/>
    </x:row>
    <x:row r="467">
      <x:c r="A467" s="9" t="str">
        <x:v>laseractive-16</x:v>
      </x:c>
      <x:c r="B467" s="9" t="str">
        <x:v>vajra</x:v>
      </x:c>
      <x:c r="C467" s="9" t="str">
        <x:v>Pioneer LaserActive</x:v>
      </x:c>
      <x:c r="D467" s="9" t="str">
        <x:v>Vajra</x:v>
      </x:c>
      <x:c r="E467" s="9" t="str">
        <x:v>ヴァジュラ</x:v>
      </x:c>
      <x:c r="F467" s="9" t="str">
        <x:v>Data West</x:v>
      </x:c>
      <x:c r="G467" s="9" t="str">
        <x:v>Pioneer (JP/NA)</x:v>
      </x:c>
      <x:c r="H467" s="9" t="n">
        <x:v>1993</x:v>
      </x:c>
      <x:c r="I467" s="9" t="str">
        <x:v>Yes</x:v>
      </x:c>
      <x:c r="J467" s="9" t="str">
        <x:v>Yes</x:v>
      </x:c>
      <x:c r="K467" s="9" t="str">
        <x:v>No</x:v>
      </x:c>
      <x:c r="L467" s="9" t="str">
        <x:v>No</x:v>
      </x:c>
      <x:c r="M467" s="9" t="str">
        <x:v>Rail shooter</x:v>
      </x:c>
      <x:c r="N467" s="9" t="str">
        <x:v>Pre-rendered CG</x:v>
      </x:c>
      <x:c r="O467" s="9" t="n">
        <x:v>9</x:v>
      </x:c>
      <x:c r="P467" s="9" t="str">
        <x:v>Pre-rendered CG</x:v>
      </x:c>
      <x:c r="Q467" s="9" t="str">
        <x:v>Released</x:v>
      </x:c>
      <x:c r="R467" s="9" t="str">
        <x:v>Original production</x:v>
      </x:c>
      <x:c r="S467" s="9" t="str">
        <x:v>None (LaserActive exclusive)</x:v>
      </x:c>
      <x:c r="T467" s="9" t="str">
        <x:v>—</x:v>
      </x:c>
      <x:c r="U467" s="9" t="n">
        <x:v>1</x:v>
      </x:c>
      <x:c r="V467" s="9" t="str">
        <x:v>No</x:v>
      </x:c>
      <x:c r="W467" s="9" t="str">
        <x:v>NEC PAC (PAC-N1/PAC-N10) required</x:v>
      </x:c>
      <x:c r="X467" s="9" t="str">
        <x:v>Low</x:v>
      </x:c>
      <x:c r="Y467" s="9" t="str"/>
      <x:c r="Z467" s="9" t="str">
        <x:v>30–60 min (verify)</x:v>
      </x:c>
      <x:c r="AA467" s="9" t="str">
        <x:v>Often called the LaserActive's best game: a CG rail-shooter boss rush against flying mechs, exclusive to the NEC PAC.</x:v>
      </x:c>
      <x:c r="AB467" s="9" t="str">
        <x:v>None known</x:v>
      </x:c>
      <x:c r="AC467" s="9" t="str">
        <x:v>Full-screen pre-rendered CG laserdisc video with PC Engine sprite/crosshair overlay</x:v>
      </x:c>
      <x:c r="AD467" s="9" t="str">
        <x:v>Unknown — verify</x:v>
      </x:c>
      <x:c r="AE467" s="9" t="str">
        <x:v>Single ending (verify)</x:v>
      </x:c>
      <x:c r="AF467" s="9" t="str">
        <x:v>Data West, the PC Engine studio behind Rayxanber, made both Vajra games; they are LaserActive exclusives.</x:v>
      </x:c>
      <x:c r="AG467" s="9" t="str">
        <x:v>JP PEANJ1001 (25 Oct 1993), NA PEANU1001 (1993)</x:v>
      </x:c>
      <x:c r="AH467" s="9" t="str">
        <x:v>No</x:v>
      </x:c>
      <x:c r="AI467" s="9" t="str">
        <x:v>Add-on required</x:v>
      </x:c>
      <x:c r="AJ467" s="9" t="str">
        <x:v>Original hardware: CLD-A100 with the NEC PAC (PAC-N1 JP / PAC-N10 NA), or NEC PCE-LD1. Emulation: ares v146 (Aug 2025) runs Mega LD and v147 (Dec 2025) runs LD-ROM², from Domesday Duplicator captures (.mmi, about 30 GB per side); this title per the ares compatibility list, checked 2026-10-24: JP disc dumped, Completable Unverified; US disc undumped. No other release.</x:v>
      </x:c>
      <x:c r="AK467" s="9" t="str">
        <x:v>Little spoken/written text, so language barely matters (verify English on NA disc). Named playable in ares LD-ROM² nightlies (Sep 2025).</x:v>
      </x:c>
      <x:c r="AL467" s="10" t="n">
        <x:v>84.5</x:v>
      </x:c>
      <x:c r="AM467" s="10" t="n">
        <x:v>1139.59</x:v>
      </x:c>
      <x:c r="AN467" s="10" t="n">
        <x:v>2279</x:v>
      </x:c>
      <x:c r="AO467" s="9" t="str">
        <x:v>2026-10-24</x:v>
      </x:c>
      <x:c r="AP467" s="11" t="str">
        <x:f>HYPERLINK("https://www.pricecharting.com/game/laseractive/vajra","PriceCharting")</x:f>
        <x:v>PriceCharting</x:v>
      </x:c>
      <x:c r="AQ467" s="9"/>
      <x:c r="AR467" s="9"/>
      <x:c r="AS467" s="9"/>
      <x:c r="AT467" s="9"/>
      <x:c r="AU467" s="9"/>
      <x:c r="AV467" s="9"/>
      <x:c r="AW467" s="9"/>
      <x:c r="AX467" s="9"/>
      <x:c r="AY467" s="9"/>
      <x:c r="AZ467" s="9"/>
      <x:c r="BA467" s="11" t="str">
        <x:f>HYPERLINK("https://www.mobygames.com/search/?q=Vajra","MobyGames")</x:f>
        <x:v>MobyGames</x:v>
      </x:c>
      <x:c r="BB467" s="9"/>
      <x:c r="BC467" s="9"/>
      <x:c r="BD467" s="9"/>
      <x:c r="BE467" s="9"/>
      <x:c r="BF467" s="11" t="str">
        <x:f>HYPERLINK("https://backloggd.com/search/games/Vajra/","Backloggd")</x:f>
        <x:v>Backloggd</x:v>
      </x:c>
      <x:c r="BG467" s="9"/>
      <x:c r="BH467" s="9"/>
      <x:c r="BI467" s="12" t="str">
        <x:v>No</x:v>
      </x:c>
      <x:c r="BJ467" s="12" t="str"/>
      <x:c r="BK467" s="12" t="str">
        <x:v>No</x:v>
      </x:c>
      <x:c r="BL467" s="12" t="str"/>
      <x:c r="BM467" s="12" t="str"/>
      <x:c r="BN467" s="12" t="str"/>
      <x:c r="BO467" s="12" t="str"/>
      <x:c r="BP467" s="12" t="str"/>
      <x:c r="BQ467" s="12" t="str"/>
    </x:row>
    <x:row r="468">
      <x:c r="A468" s="9" t="str">
        <x:v>laseractive-17</x:v>
      </x:c>
      <x:c r="B468" s="9" t="str">
        <x:v>vajra-2</x:v>
      </x:c>
      <x:c r="C468" s="9" t="str">
        <x:v>Pioneer LaserActive</x:v>
      </x:c>
      <x:c r="D468" s="9" t="str">
        <x:v>Vajra 2</x:v>
      </x:c>
      <x:c r="E468" s="9" t="str">
        <x:v>ヴァジュラ弐 (Vajra Ni)</x:v>
      </x:c>
      <x:c r="F468" s="9" t="str">
        <x:v>Data West</x:v>
      </x:c>
      <x:c r="G468" s="9" t="str">
        <x:v>Pioneer (JP)</x:v>
      </x:c>
      <x:c r="H468" s="9" t="n">
        <x:v>1994</x:v>
      </x:c>
      <x:c r="I468" s="9" t="str">
        <x:v>No</x:v>
      </x:c>
      <x:c r="J468" s="9" t="str">
        <x:v>Yes</x:v>
      </x:c>
      <x:c r="K468" s="9" t="str">
        <x:v>No</x:v>
      </x:c>
      <x:c r="L468" s="9" t="str">
        <x:v>No</x:v>
      </x:c>
      <x:c r="M468" s="9" t="str">
        <x:v>Rail shooter</x:v>
      </x:c>
      <x:c r="N468" s="9" t="str">
        <x:v>Pre-rendered CG</x:v>
      </x:c>
      <x:c r="O468" s="9" t="n">
        <x:v>9</x:v>
      </x:c>
      <x:c r="P468" s="9" t="str">
        <x:v>Pre-rendered CG</x:v>
      </x:c>
      <x:c r="Q468" s="9" t="str">
        <x:v>Released</x:v>
      </x:c>
      <x:c r="R468" s="9" t="str">
        <x:v>Original production (sequel to Vajra)</x:v>
      </x:c>
      <x:c r="S468" s="9" t="str">
        <x:v>None (LaserActive exclusive)</x:v>
      </x:c>
      <x:c r="T468" s="9" t="str">
        <x:v>—</x:v>
      </x:c>
      <x:c r="U468" s="9" t="n">
        <x:v>1</x:v>
      </x:c>
      <x:c r="V468" s="9" t="str">
        <x:v>No</x:v>
      </x:c>
      <x:c r="W468" s="9" t="str">
        <x:v>NEC PAC (PAC-N1/PAC-N10) required; LaserActive 3-D Goggles (GOL-1) supported</x:v>
      </x:c>
      <x:c r="X468" s="9" t="str">
        <x:v>Low</x:v>
      </x:c>
      <x:c r="Y468" s="9" t="str"/>
      <x:c r="Z468" s="9" t="str">
        <x:v>30–60 min (verify)</x:v>
      </x:c>
      <x:c r="AA468" s="9" t="str">
        <x:v>The Japan-only sequel to the LaserActive's best shooter, with stereoscopic 3D through Pioneer's shutter goggles.</x:v>
      </x:c>
      <x:c r="AB468" s="9" t="str">
        <x:v>None known</x:v>
      </x:c>
      <x:c r="AC468" s="9" t="str">
        <x:v>Full-screen pre-rendered CG laserdisc video with sprite overlay; field-sequential 3D mode with goggles</x:v>
      </x:c>
      <x:c r="AD468" s="9" t="str">
        <x:v>Unknown — verify</x:v>
      </x:c>
      <x:c r="AE468" s="9" t="str">
        <x:v>Single ending (verify)</x:v>
      </x:c>
      <x:c r="AF468" s="9" t="str">
        <x:v>One of a handful of LaserActive titles that work with the 3-D Goggles; unlike Vajra's boss rush it adds regular enemy waves.</x:v>
      </x:c>
      <x:c r="AG468" s="9" t="str">
        <x:v>JP PEANJ1016 (31 Oct 1994)</x:v>
      </x:c>
      <x:c r="AH468" s="9" t="str">
        <x:v>No</x:v>
      </x:c>
      <x:c r="AI468" s="9" t="str">
        <x:v>Expensive</x:v>
      </x:c>
      <x:c r="AJ468" s="9" t="str">
        <x:v>Original hardware: CLD-A100 with the NEC PAC (PAC-N1 JP / PAC-N10 NA), or NEC PCE-LD1. Emulation: ares v146 (Aug 2025) runs Mega LD and v147 (Dec 2025) runs LD-ROM², from Domesday Duplicator captures (.mmi, about 30 GB per side); this title per the ares compatibility list, checked 2026-10-24: JP disc dumped, Completable Unverified (3D goggle mode, verify). No other release.</x:v>
      </x:c>
      <x:c r="AK468" s="9" t="str">
        <x:v>Japan only, but a shooter with minimal text — playable without Japanese (verify menus).</x:v>
      </x:c>
      <x:c r="AL468" s="10"/>
      <x:c r="AM468" s="10"/>
      <x:c r="AN468" s="10"/>
      <x:c r="AO468" s="9"/>
      <x:c r="AP468" s="11" t="str">
        <x:f>HYPERLINK("https://www.pricecharting.com/game/jp-laseractive/vajra-ni","PriceCharting")</x:f>
        <x:v>PriceCharting</x:v>
      </x:c>
      <x:c r="AQ468" s="9"/>
      <x:c r="AR468" s="9"/>
      <x:c r="AS468" s="9"/>
      <x:c r="AT468" s="9"/>
      <x:c r="AU468" s="9"/>
      <x:c r="AV468" s="9"/>
      <x:c r="AW468" s="9"/>
      <x:c r="AX468" s="9"/>
      <x:c r="AY468" s="9"/>
      <x:c r="AZ468" s="9"/>
      <x:c r="BA468" s="11" t="str">
        <x:f>HYPERLINK("https://www.mobygames.com/search/?q=Vajra+2","MobyGames")</x:f>
        <x:v>MobyGames</x:v>
      </x:c>
      <x:c r="BB468" s="9"/>
      <x:c r="BC468" s="9"/>
      <x:c r="BD468" s="9"/>
      <x:c r="BE468" s="9"/>
      <x:c r="BF468" s="11" t="str">
        <x:f>HYPERLINK("https://backloggd.com/search/games/Vajra%202/","Backloggd")</x:f>
        <x:v>Backloggd</x:v>
      </x:c>
      <x:c r="BG468" s="9"/>
      <x:c r="BH468" s="9"/>
      <x:c r="BI468" s="12" t="str">
        <x:v>No</x:v>
      </x:c>
      <x:c r="BJ468" s="12" t="str"/>
      <x:c r="BK468" s="12" t="str">
        <x:v>No</x:v>
      </x:c>
      <x:c r="BL468" s="12" t="str"/>
      <x:c r="BM468" s="12" t="str"/>
      <x:c r="BN468" s="12" t="str"/>
      <x:c r="BO468" s="12" t="str"/>
      <x:c r="BP468" s="12" t="str"/>
      <x:c r="BQ468" s="12" t="str"/>
    </x:row>
    <x:row r="469">
      <x:c r="A469" s="9" t="str">
        <x:v>laseractive-18</x:v>
      </x:c>
      <x:c r="B469" s="9" t="str">
        <x:v>zapping-satsui</x:v>
      </x:c>
      <x:c r="C469" s="9" t="str">
        <x:v>Pioneer LaserActive</x:v>
      </x:c>
      <x:c r="D469" s="9" t="str">
        <x:v>Zapping "Satsui"</x:v>
      </x:c>
      <x:c r="E469" s="9" t="str">
        <x:v>Zapping TV Satsui; ザッピング「殺意」; Murderous Decisions (Mörderische Entscheidung) (verify)</x:v>
      </x:c>
      <x:c r="F469" s="9" t="str">
        <x:v>Beta Film (licensor of the film) (verify)</x:v>
      </x:c>
      <x:c r="G469" s="9" t="str">
        <x:v>Pioneer (JP)</x:v>
      </x:c>
      <x:c r="H469" s="9" t="n">
        <x:v>1994</x:v>
      </x:c>
      <x:c r="I469" s="9" t="str">
        <x:v>No</x:v>
      </x:c>
      <x:c r="J469" s="9" t="str">
        <x:v>Yes</x:v>
      </x:c>
      <x:c r="K469" s="9" t="str">
        <x:v>No</x:v>
      </x:c>
      <x:c r="L469" s="9" t="str">
        <x:v>No</x:v>
      </x:c>
      <x:c r="M469" s="9" t="str">
        <x:v>Interactive movie (perspective switching)</x:v>
      </x:c>
      <x:c r="N469" s="9" t="str">
        <x:v>Live-action</x:v>
      </x:c>
      <x:c r="O469" s="9" t="n">
        <x:v>10</x:v>
      </x:c>
      <x:c r="P469" s="9" t="str">
        <x:v>Interactive movie</x:v>
      </x:c>
      <x:c r="Q469" s="9" t="str">
        <x:v>Released</x:v>
      </x:c>
      <x:c r="R469" s="9" t="str">
        <x:v>German TV 'zap film' Mörderische Entscheidung (1991, dir. Oliver Hirschbiegel), broadcast simultaneously on ARD and ZDF from two characters' viewpoints (verify identity)</x:v>
      </x:c>
      <x:c r="S469" s="9" t="str">
        <x:v>Original TV broadcast only</x:v>
      </x:c>
      <x:c r="T469" s="9" t="str">
        <x:v>Unknown — verify</x:v>
      </x:c>
      <x:c r="U469" s="9" t="n">
        <x:v>1</x:v>
      </x:c>
      <x:c r="V469" s="9" t="str">
        <x:v>No</x:v>
      </x:c>
      <x:c r="W469" s="9" t="str">
        <x:v>Mega LD: Sega PAC (PAC-S1/PAC-S10) required; LD-ROM²: NEC PAC (PAC-N1/PAC-N10) required</x:v>
      </x:c>
      <x:c r="X469" s="9" t="str">
        <x:v>Med</x:v>
      </x:c>
      <x:c r="Y469" s="9" t="str">
        <x:v>Licensed TV film footage and its score (German broadcaster rights)</x:v>
      </x:c>
      <x:c r="Z469" s="9" t="str">
        <x:v>~1.5–2 hr per viewpoint (verify)</x:v>
      </x:c>
      <x:c r="AA469" s="9" t="str">
        <x:v>A German TV thriller shown on two channels at once, put on a laserdisc so you can zap between his and her version of the story live.</x:v>
      </x:c>
      <x:c r="AB469" s="9" t="str">
        <x:v>None known</x:v>
      </x:c>
      <x:c r="AC469" s="9" t="str">
        <x:v>Full-screen broadcast-quality laserdisc film; double-sided disc holds both perspectives, switch on the fly</x:v>
      </x:c>
      <x:c r="AD469" s="9" t="str">
        <x:v>None — you watch and switch</x:v>
      </x:c>
      <x:c r="AE469" s="9" t="str">
        <x:v>One story told two ways (Christine's and Stefan's)</x:v>
      </x:c>
      <x:c r="AF469" s="9" t="str">
        <x:v>Story: artist Stefan is tricked into carrying drugs for Christine, falls into a triangle with her boss Octave and is framed. A Sega Does commenter praised its subtitles.</x:v>
      </x:c>
      <x:c r="AG469" s="9" t="str">
        <x:v>LD-ROM² JP PEANJ5023 (10 Jun 1994); Mega LD JP PEASJ5024 (25 Aug 1994)</x:v>
      </x:c>
      <x:c r="AH469" s="9" t="str">
        <x:v>No</x:v>
      </x:c>
      <x:c r="AI469" s="9" t="str">
        <x:v>Add-on required</x:v>
      </x:c>
      <x:c r="AJ469" s="9" t="str">
        <x:v>Original hardware: CLD-A100 (or NEC PCE-LD1) with the Sega PAC (PAC-S1 JP / PAC-S10 NA); the LD-ROM² disc needs CLD-A100 with the NEC PAC (PAC-N1 JP / PAC-N10 NA), or NEC PCE-LD1. Emulation: ares v146 (Aug 2025) runs Mega LD and v147 (Dec 2025) runs LD-ROM², from Domesday Duplicator captures (.mmi, about 30 GB per side); this title per the ares compatibility list, checked 2026-10-24: JP Mega LD disc dumped, Completable Unverified; LD-ROM² disc undumped. No other release.</x:v>
      </x:c>
      <x:c r="AK469" s="9" t="str">
        <x:v>Japan-only but English playable: switchable English or Japanese audio. Borderline non-game (interactive video with track switching) — keep as interactive movie or move to excluded.md; Tom's call. Sega Does credits a director 'Gerard Schmidt', which conflicts with the Hirschbiegel film (verify). Sega Does grade: F.</x:v>
      </x:c>
      <x:c r="AL469" s="10"/>
      <x:c r="AM469" s="10"/>
      <x:c r="AN469" s="10"/>
      <x:c r="AO469" s="9"/>
      <x:c r="AP469" s="11" t="str">
        <x:f>HYPERLINK("https://www.pricecharting.com/game/jp-laseractive/zapping-satsui-megald","PriceCharting")</x:f>
        <x:v>PriceCharting</x:v>
      </x:c>
      <x:c r="AQ469" s="9"/>
      <x:c r="AR469" s="9"/>
      <x:c r="AS469" s="9"/>
      <x:c r="AT469" s="9"/>
      <x:c r="AU469" s="9"/>
      <x:c r="AV469" s="9"/>
      <x:c r="AW469" s="9"/>
      <x:c r="AX469" s="9"/>
      <x:c r="AY469" s="9"/>
      <x:c r="AZ469" s="9"/>
      <x:c r="BA469" s="11" t="str">
        <x:f>HYPERLINK("https://www.mobygames.com/search/?q=Zapping+%22Satsui%22","MobyGames")</x:f>
        <x:v>MobyGames</x:v>
      </x:c>
      <x:c r="BB469" s="9"/>
      <x:c r="BC469" s="9"/>
      <x:c r="BD469" s="9"/>
      <x:c r="BE469" s="9"/>
      <x:c r="BF469" s="11" t="str">
        <x:f>HYPERLINK("https://backloggd.com/search/games/Zapping%20%22Satsui%22/","Backloggd")</x:f>
        <x:v>Backloggd</x:v>
      </x:c>
      <x:c r="BG469" s="9"/>
      <x:c r="BH469" s="9"/>
      <x:c r="BI469" s="12" t="str">
        <x:v>No</x:v>
      </x:c>
      <x:c r="BJ469" s="12" t="str"/>
      <x:c r="BK469" s="12" t="str">
        <x:v>No</x:v>
      </x:c>
      <x:c r="BL469" s="12" t="str"/>
      <x:c r="BM469" s="12" t="str"/>
      <x:c r="BN469" s="12" t="str"/>
      <x:c r="BO469" s="12" t="str"/>
      <x:c r="BP469" s="12" t="str"/>
      <x:c r="BQ469" s="12" t="str"/>
    </x:row>
    <x:row r="470">
      <x:c r="A470" s="9" t="str">
        <x:v>laseractive-19</x:v>
      </x:c>
      <x:c r="B470" s="9" t="str">
        <x:v>akuma-no-shinpan</x:v>
      </x:c>
      <x:c r="C470" s="9" t="str">
        <x:v>Pioneer LaserActive</x:v>
      </x:c>
      <x:c r="D470" s="9" t="str">
        <x:v>Akuma no Shinpan</x:v>
      </x:c>
      <x:c r="E470" s="9" t="str">
        <x:v>Akuma no Shinban: Konseiki Saigo no Shinri Game (悪魔の審判); The Demon's Judgement</x:v>
      </x:c>
      <x:c r="F470" s="9" t="str">
        <x:v>Planet</x:v>
      </x:c>
      <x:c r="G470" s="9" t="str">
        <x:v>Planet (JP)</x:v>
      </x:c>
      <x:c r="H470" s="9" t="n">
        <x:v>1993</x:v>
      </x:c>
      <x:c r="I470" s="9" t="str">
        <x:v>No</x:v>
      </x:c>
      <x:c r="J470" s="9" t="str">
        <x:v>Yes</x:v>
      </x:c>
      <x:c r="K470" s="9" t="str">
        <x:v>No</x:v>
      </x:c>
      <x:c r="L470" s="9" t="str">
        <x:v>No</x:v>
      </x:c>
      <x:c r="M470" s="9" t="str">
        <x:v>Psychology quiz / personality test</x:v>
      </x:c>
      <x:c r="N470" s="9" t="str">
        <x:v>Live-action</x:v>
      </x:c>
      <x:c r="O470" s="9" t="n">
        <x:v>7</x:v>
      </x:c>
      <x:c r="P470" s="9" t="str">
        <x:v>Game show / trivia</x:v>
      </x:c>
      <x:c r="Q470" s="9" t="str">
        <x:v>Released</x:v>
      </x:c>
      <x:c r="R470" s="9" t="str">
        <x:v>Original production for LD-ROM²</x:v>
      </x:c>
      <x:c r="S470" s="9" t="str">
        <x:v>None known</x:v>
      </x:c>
      <x:c r="T470" s="9" t="str">
        <x:v>Unknown — verify</x:v>
      </x:c>
      <x:c r="U470" s="9" t="n">
        <x:v>1</x:v>
      </x:c>
      <x:c r="V470" s="9" t="str">
        <x:v>Unknown — verify</x:v>
      </x:c>
      <x:c r="W470" s="9" t="str">
        <x:v>NEC PAC (PAC-N1 JP / PAC-N10 NA) in a LaserActive CLD-A100, or the NEC PCE-LD1 player; PC Engine/TurboGrafx pad</x:v>
      </x:c>
      <x:c r="X470" s="9" t="str">
        <x:v>Low</x:v>
      </x:c>
      <x:c r="Y470" s="9" t="str">
        <x:v>Original production; music not known to be licensed (verify)</x:v>
      </x:c>
      <x:c r="Z470" s="9" t="str">
        <x:v>Under 1 hr (verify)</x:v>
      </x:c>
      <x:c r="AA470" s="9" t="str">
        <x:v>A launch-day LaserActive oddity: a demon puts you through a live-action 'psychology game' and passes judgement on your soul.</x:v>
      </x:c>
      <x:c r="AB470" s="9" t="str">
        <x:v>None known</x:v>
      </x:c>
      <x:c r="AC470" s="9" t="str">
        <x:v>Full-screen analog LaserDisc video (NTSC, 30 fps) with PC Engine graphics overlaid</x:v>
      </x:c>
      <x:c r="AD470" s="9" t="str">
        <x:v>Low; questions have no right answers, the result depends on your choices (verify)</x:v>
      </x:c>
      <x:c r="AE470" s="9" t="str">
        <x:v>Multiple judgements/results depending on answers (verify)</x:v>
      </x:c>
      <x:c r="AF470" s="9" t="str">
        <x:v>Launch title for the NEC PAC (20 Aug 1993). Subtitle means 'The last psychology game of the century'. One of the first LD-ROM² discs shown running in ares (Sept 2025).</x:v>
      </x:c>
      <x:c r="AG470" s="9" t="str">
        <x:v>Japan only, catalog PEANJ5003</x:v>
      </x:c>
      <x:c r="AH470" s="9" t="str">
        <x:v>No</x:v>
      </x:c>
      <x:c r="AI470" s="9" t="str">
        <x:v>Expensive</x:v>
      </x:c>
      <x:c r="AJ470" s="9" t="str">
        <x:v>Original hardware: CLD-A100 with the NEC PAC (PAC-N1 JP / PAC-N10 NA), or NEC PCE-LD1. Emulation: ares v146 (Aug 2025) runs Mega LD and v147 (Dec 2025) runs LD-ROM², from Domesday Duplicator captures (.mmi, about 30 GB per side); this title per the ares compatibility list, checked 2026-10-24: JP disc dumped, Completable Unverified. No other release.</x:v>
      </x:c>
      <x:c r="AK470" s="9" t="str">
        <x:v>Japanese-only (no English audio or subtitles); unplayable for the series without Japanese commentary/translation. Wikipedia and most catalogs spell it 'Akuma no Shinban'. Laseractive Release Database genre: Quiz. Gameplay description is thin in English sources (verify on a capture).</x:v>
      </x:c>
      <x:c r="AL470" s="10"/>
      <x:c r="AM470" s="10"/>
      <x:c r="AN470" s="10"/>
      <x:c r="AO470" s="9"/>
      <x:c r="AP470" s="11" t="str">
        <x:f>HYPERLINK("https://www.pricecharting.com/game/jp-laseractive/devil%27s-judgment","PriceCharting")</x:f>
        <x:v>PriceCharting</x:v>
      </x:c>
      <x:c r="AQ470" s="9"/>
      <x:c r="AR470" s="9"/>
      <x:c r="AS470" s="9"/>
      <x:c r="AT470" s="9"/>
      <x:c r="AU470" s="9"/>
      <x:c r="AV470" s="9"/>
      <x:c r="AW470" s="9"/>
      <x:c r="AX470" s="9"/>
      <x:c r="AY470" s="9"/>
      <x:c r="AZ470" s="9"/>
      <x:c r="BA470" s="11" t="str">
        <x:f>HYPERLINK("https://www.mobygames.com/search/?q=Akuma+no+Shinpan","MobyGames")</x:f>
        <x:v>MobyGames</x:v>
      </x:c>
      <x:c r="BB470" s="9"/>
      <x:c r="BC470" s="9"/>
      <x:c r="BD470" s="9"/>
      <x:c r="BE470" s="9"/>
      <x:c r="BF470" s="11" t="str">
        <x:f>HYPERLINK("https://backloggd.com/search/games/Akuma%20no%20Shinpan/","Backloggd")</x:f>
        <x:v>Backloggd</x:v>
      </x:c>
      <x:c r="BG470" s="9"/>
      <x:c r="BH470" s="9"/>
      <x:c r="BI470" s="12" t="str">
        <x:v>No</x:v>
      </x:c>
      <x:c r="BJ470" s="12" t="str"/>
      <x:c r="BK470" s="12" t="str">
        <x:v>No</x:v>
      </x:c>
      <x:c r="BL470" s="12" t="str"/>
      <x:c r="BM470" s="12" t="str"/>
      <x:c r="BN470" s="12" t="str"/>
      <x:c r="BO470" s="12" t="str"/>
      <x:c r="BP470" s="12" t="str"/>
      <x:c r="BQ470" s="12" t="str"/>
    </x:row>
    <x:row r="471">
      <x:c r="A471" s="9" t="str">
        <x:v>laseractive-20</x:v>
      </x:c>
      <x:c r="B471" s="9" t="str">
        <x:v>back-to-the-edo</x:v>
      </x:c>
      <x:c r="C471" s="9" t="str">
        <x:v>Pioneer LaserActive</x:v>
      </x:c>
      <x:c r="D471" s="9" t="str">
        <x:v>Back to the Edo</x:v>
      </x:c>
      <x:c r="E471" s="9" t="str">
        <x:v>BACK TO THE 江戸</x:v>
      </x:c>
      <x:c r="F471" s="9" t="str">
        <x:v>TBS (Tokyo Broadcasting System) / JP Multimedia Entertainment (verify)</x:v>
      </x:c>
      <x:c r="G471" s="9" t="str">
        <x:v>Pioneer LDC (JP)</x:v>
      </x:c>
      <x:c r="H471" s="9" t="n">
        <x:v>1994</x:v>
      </x:c>
      <x:c r="I471" s="9" t="str">
        <x:v>No</x:v>
      </x:c>
      <x:c r="J471" s="9" t="str">
        <x:v>Yes</x:v>
      </x:c>
      <x:c r="K471" s="9" t="str">
        <x:v>No</x:v>
      </x:c>
      <x:c r="L471" s="9" t="str">
        <x:v>No</x:v>
      </x:c>
      <x:c r="M471" s="9" t="str">
        <x:v>FMV trivia quiz (Edo-period history)</x:v>
      </x:c>
      <x:c r="N471" s="9" t="str">
        <x:v>Live-action</x:v>
      </x:c>
      <x:c r="O471" s="9" t="n">
        <x:v>7</x:v>
      </x:c>
      <x:c r="P471" s="9" t="str">
        <x:v>Game show / trivia</x:v>
      </x:c>
      <x:c r="Q471" s="9" t="str">
        <x:v>Released</x:v>
      </x:c>
      <x:c r="R471" s="9" t="str">
        <x:v>TBS TV quiz show 'Quiz Nihon Mukashi ga Omoshiroi'; some live-action scenes reuse its footage (ja.wikipedia)</x:v>
      </x:c>
      <x:c r="S471" s="9" t="str">
        <x:v>None known</x:v>
      </x:c>
      <x:c r="T471" s="9" t="str">
        <x:v>Unknown — verify (an on-screen quizmaster asks the questions)</x:v>
      </x:c>
      <x:c r="U471" s="9" t="n">
        <x:v>1</x:v>
      </x:c>
      <x:c r="V471" s="9" t="str">
        <x:v>Unknown — verify</x:v>
      </x:c>
      <x:c r="W471" s="9" t="str">
        <x:v>Sega PAC (PAC-S1 JP / PAC-S10 NA) in a LaserActive CLD-A100; Genesis/Mega Drive pad</x:v>
      </x:c>
      <x:c r="X471" s="9" t="str">
        <x:v>Low–Med</x:v>
      </x:c>
      <x:c r="Y471" s="9" t="str">
        <x:v>Footage from a TBS broadcast quiz show</x:v>
      </x:c>
      <x:c r="Z471" s="9" t="str">
        <x:v>Under 1 hr (verify)</x:v>
      </x:c>
      <x:c r="AA471" s="9" t="str">
        <x:v>A costumed samurai-era time trip where every wrong answer on Edo history sends you all the way back to the start.</x:v>
      </x:c>
      <x:c r="AB471" s="9" t="str">
        <x:v>None known</x:v>
      </x:c>
      <x:c r="AC471" s="9" t="str">
        <x:v>Full-screen analog LaserDisc video (NTSC, 30 fps); period sets and costumes look high-budget per Sega Does</x:v>
      </x:c>
      <x:c r="AD471" s="9" t="str">
        <x:v>Hard without Japanese: one wrong answer restarts the run</x:v>
      </x:c>
      <x:c r="AE471" s="9" t="str">
        <x:v>Single ending for clearing the question run (verify)</x:v>
      </x:c>
      <x:c r="AF471" s="9" t="str">
        <x:v>Sega Does found questions repeating quickly, suggesting a small question pool, and estimated a D grade. Released 22 Dec 1994, the same day as the JP Don Quixote.</x:v>
      </x:c>
      <x:c r="AG471" s="9" t="str">
        <x:v>Japan only, catalog PEASJ5021</x:v>
      </x:c>
      <x:c r="AH471" s="9" t="str">
        <x:v>No</x:v>
      </x:c>
      <x:c r="AI471" s="9" t="str">
        <x:v>Expensive</x:v>
      </x:c>
      <x:c r="AJ471" s="9" t="str">
        <x:v>Original hardware: CLD-A100 (or NEC PCE-LD1) with the Sega PAC (PAC-S1 JP / PAC-S10 NA). Emulation: ares v146 (Aug 2025) runs Mega LD and v147 (Dec 2025) runs LD-ROM², from Domesday Duplicator captures (.mmi, about 30 GB per side); this title per the ares compatibility list, checked 2026-10-24: undumped, so original hardware only. No other release.</x:v>
      </x:c>
      <x:c r="AK471" s="9" t="str">
        <x:v>Japanese-only (no English dub or subtitles); Sega Does called the language barrier 'impenetrable' (segadoes.com/2016/12/22/back-to-the-edo/). Developer credited as TBS by ja.wikipedia and the Laseractive Release Database, as JP Multimedia Entertainment by LaunchBox.</x:v>
      </x:c>
      <x:c r="AL471" s="10"/>
      <x:c r="AM471" s="10"/>
      <x:c r="AN471" s="10"/>
      <x:c r="AO471" s="9"/>
      <x:c r="AP471" s="11" t="str">
        <x:f>HYPERLINK("https://www.pricecharting.com/game/jp-laseractive/back-to-the-edo","PriceCharting")</x:f>
        <x:v>PriceCharting</x:v>
      </x:c>
      <x:c r="AQ471" s="9"/>
      <x:c r="AR471" s="9"/>
      <x:c r="AS471" s="9"/>
      <x:c r="AT471" s="9"/>
      <x:c r="AU471" s="9"/>
      <x:c r="AV471" s="9"/>
      <x:c r="AW471" s="9"/>
      <x:c r="AX471" s="9"/>
      <x:c r="AY471" s="9"/>
      <x:c r="AZ471" s="9"/>
      <x:c r="BA471" s="11" t="str">
        <x:f>HYPERLINK("https://www.mobygames.com/search/?q=Back+to+the+Edo","MobyGames")</x:f>
        <x:v>MobyGames</x:v>
      </x:c>
      <x:c r="BB471" s="9"/>
      <x:c r="BC471" s="9"/>
      <x:c r="BD471" s="9"/>
      <x:c r="BE471" s="9"/>
      <x:c r="BF471" s="11" t="str">
        <x:f>HYPERLINK("https://backloggd.com/search/games/Back%20to%20the%20Edo/","Backloggd")</x:f>
        <x:v>Backloggd</x:v>
      </x:c>
      <x:c r="BG471" s="9"/>
      <x:c r="BH471" s="9"/>
      <x:c r="BI471" s="12" t="str">
        <x:v>No</x:v>
      </x:c>
      <x:c r="BJ471" s="12" t="str"/>
      <x:c r="BK471" s="12" t="str">
        <x:v>No</x:v>
      </x:c>
      <x:c r="BL471" s="12" t="str"/>
      <x:c r="BM471" s="12" t="str"/>
      <x:c r="BN471" s="12" t="str"/>
      <x:c r="BO471" s="12" t="str"/>
      <x:c r="BP471" s="12" t="str"/>
      <x:c r="BQ471" s="12" t="str"/>
    </x:row>
    <x:row r="472">
      <x:c r="A472" s="9" t="str">
        <x:v>laseractive-21</x:v>
      </x:c>
      <x:c r="B472" s="9" t="str">
        <x:v>myst</x:v>
      </x:c>
      <x:c r="C472" s="9" t="str">
        <x:v>Pioneer LaserActive</x:v>
      </x:c>
      <x:c r="D472" s="9" t="str">
        <x:v>Myst</x:v>
      </x:c>
      <x:c r="E472" s="9" t="str"/>
      <x:c r="F472" s="9" t="str">
        <x:v>Brian Rice Inc. (port); original by Cyan</x:v>
      </x:c>
      <x:c r="G472" s="9" t="str">
        <x:v>Sunsoft (planned)</x:v>
      </x:c>
      <x:c r="H472" s="9" t="n">
        <x:v>1995</x:v>
      </x:c>
      <x:c r="I472" s="9" t="str">
        <x:v>No</x:v>
      </x:c>
      <x:c r="J472" s="9" t="str">
        <x:v>No</x:v>
      </x:c>
      <x:c r="K472" s="9" t="str">
        <x:v>No</x:v>
      </x:c>
      <x:c r="L472" s="9" t="str">
        <x:v>No</x:v>
      </x:c>
      <x:c r="M472" s="9" t="str">
        <x:v>First-person puzzle adventure</x:v>
      </x:c>
      <x:c r="N472" s="9" t="str">
        <x:v>Pre-rendered CG</x:v>
      </x:c>
      <x:c r="O472" s="9" t="n">
        <x:v>5</x:v>
      </x:c>
      <x:c r="P472" s="9" t="str">
        <x:v>Prototype</x:v>
      </x:c>
      <x:c r="Q472" s="9" t="str">
        <x:v>NOT obtainable</x:v>
      </x:c>
      <x:c r="R472" s="9" t="str">
        <x:v>PC/Mac original (Cyan, 1993)</x:v>
      </x:c>
      <x:c r="S472" s="9" t="str">
        <x:v>Mac, PC, Saturn, PlayStation, 3DO, CD-i, Jaguar CD, many modern platforms</x:v>
      </x:c>
      <x:c r="T472" s="9" t="str">
        <x:v>Rand Miller, Robyn Miller (live-action video in the original)</x:v>
      </x:c>
      <x:c r="U472" s="9" t="n">
        <x:v>1</x:v>
      </x:c>
      <x:c r="V472" s="9" t="str">
        <x:v>Unknown — verify</x:v>
      </x:c>
      <x:c r="W472" s="9" t="str">
        <x:v>Sega PAC (Mega LD); unreleased</x:v>
      </x:c>
      <x:c r="X472" s="9" t="str">
        <x:v>Low</x:v>
      </x:c>
      <x:c r="Y472" s="9" t="str">
        <x:v>Robyn Miller's soundtrack is original but commercially released (verify)</x:v>
      </x:c>
      <x:c r="Z472" s="9" t="str">
        <x:v>3–5 hr (original)</x:v>
      </x:c>
      <x:c r="AA472" s="9" t="str">
        <x:v>The LaserActive Myst was killed by a hardware bug that let the disc run away and play like a movie; two prototypes survived.</x:v>
      </x:c>
      <x:c r="AB472" s="9" t="str">
        <x:v>None known</x:v>
      </x:c>
      <x:c r="AC472" s="9" t="str">
        <x:v>Would have used LaserDisc stills and short transitions instead of CD-ROM images</x:v>
      </x:c>
      <x:c r="AD472" s="9" t="str">
        <x:v>Original Myst puzzles</x:v>
      </x:c>
      <x:c r="AE472" s="9" t="str">
        <x:v>Multiple in the original game</x:v>
      </x:c>
      <x:c r="AF472" s="9" t="str">
        <x:v>Development was scrapped after a hardware bug made the player overrun scene transitions under some conditions, which prototype owners say makes it impossible to finish. Collector Doc eggfan acquired two prototypes (2025).</x:v>
      </x:c>
      <x:c r="AG472" s="9" t="str">
        <x:v>Prototypes only</x:v>
      </x:c>
      <x:c r="AH472" s="9" t="str">
        <x:v>Yes (realMyst, Myst 2021 on PC/consoles; not the LaserActive version)</x:v>
      </x:c>
      <x:c r="AI472" s="9" t="str">
        <x:v>Lost</x:v>
      </x:c>
      <x:c r="AJ472" s="9" t="str">
        <x:v>Not playable: unreleased; two prototypes held privately (readonlymemo.com, 2025-08-31); not in the ares list. Play Myst itself on other systems: Saturn, PlayStation, 3DO, CD-i, Jaguar CD, or modern PC/console remakes.</x:v>
      </x:c>
      <x:c r="AK472" s="9" t="str">
        <x:v>Confirmed unreleased: Wikipedia lists it as an unreleased Mega LD conversion (~1995) for Sunsoft by Brian Rice Inc.; never released in NA or JP. Prototypes are not publicly dumped (verify). Excluded from obtainable count. Original game is English.</x:v>
      </x:c>
      <x:c r="AL472" s="10"/>
      <x:c r="AM472" s="10"/>
      <x:c r="AN472" s="10"/>
      <x:c r="AO472" s="9"/>
      <x:c r="AP472" s="11" t="str">
        <x:f>HYPERLINK("https://www.pricecharting.com/game/laseractive/myst","PriceCharting")</x:f>
        <x:v>PriceCharting</x:v>
      </x:c>
      <x:c r="AQ472" s="9"/>
      <x:c r="AR472" s="9"/>
      <x:c r="AS472" s="9"/>
      <x:c r="AT472" s="9"/>
      <x:c r="AU472" s="9"/>
      <x:c r="AV472" s="9"/>
      <x:c r="AW472" s="9"/>
      <x:c r="AX472" s="9"/>
      <x:c r="AY472" s="9"/>
      <x:c r="AZ472" s="9"/>
      <x:c r="BA472" s="11" t="str">
        <x:f>HYPERLINK("https://www.mobygames.com/search/?q=Myst","MobyGames")</x:f>
        <x:v>MobyGames</x:v>
      </x:c>
      <x:c r="BB472" s="9"/>
      <x:c r="BC472" s="9"/>
      <x:c r="BD472" s="9"/>
      <x:c r="BE472" s="11" t="str">
        <x:f>HYPERLINK("https://en.wikipedia.org/wiki/Myst","Wikipedia")</x:f>
        <x:v>Wikipedia</x:v>
      </x:c>
      <x:c r="BF472" s="11" t="str">
        <x:f>HYPERLINK("https://backloggd.com/search/games/Myst/","Backloggd")</x:f>
        <x:v>Backloggd</x:v>
      </x:c>
      <x:c r="BG472" s="9"/>
      <x:c r="BH472" s="9"/>
      <x:c r="BI472" s="12" t="str">
        <x:v>No</x:v>
      </x:c>
      <x:c r="BJ472" s="12" t="str"/>
      <x:c r="BK472" s="12" t="str">
        <x:v>No</x:v>
      </x:c>
      <x:c r="BL472" s="12" t="str"/>
      <x:c r="BM472" s="12" t="str"/>
      <x:c r="BN472" s="12" t="str"/>
      <x:c r="BO472" s="12" t="str"/>
      <x:c r="BP472" s="12" t="str"/>
      <x:c r="BQ472" s="12" t="str"/>
    </x:row>
    <x:row r="473">
      <x:c r="A473" s="9" t="str">
        <x:v>jaguarcd-1</x:v>
      </x:c>
      <x:c r="B473" s="9" t="str">
        <x:v>baldies</x:v>
      </x:c>
      <x:c r="C473" s="9" t="str">
        <x:v>Atari Jaguar CD</x:v>
      </x:c>
      <x:c r="D473" s="9" t="str">
        <x:v>Baldies</x:v>
      </x:c>
      <x:c r="E473" s="9" t="str"/>
      <x:c r="F473" s="9" t="str">
        <x:v>Creative Edge Software</x:v>
      </x:c>
      <x:c r="G473" s="9" t="str">
        <x:v>Atari Corporation (NA/EU)</x:v>
      </x:c>
      <x:c r="H473" s="9" t="n">
        <x:v>1995</x:v>
      </x:c>
      <x:c r="I473" s="9" t="str">
        <x:v>Yes</x:v>
      </x:c>
      <x:c r="J473" s="9" t="str">
        <x:v>No</x:v>
      </x:c>
      <x:c r="K473" s="9" t="str">
        <x:v>Yes</x:v>
      </x:c>
      <x:c r="L473" s="9" t="str">
        <x:v>No</x:v>
      </x:c>
      <x:c r="M473" s="9" t="str">
        <x:v>Real-time strategy / god game</x:v>
      </x:c>
      <x:c r="N473" s="9" t="str">
        <x:v>Animated</x:v>
      </x:c>
      <x:c r="O473" s="9" t="n">
        <x:v>2</x:v>
      </x:c>
      <x:c r="P473" s="9" t="str">
        <x:v>Cutscenes only</x:v>
      </x:c>
      <x:c r="Q473" s="9" t="str">
        <x:v>Released</x:v>
      </x:c>
      <x:c r="R473" s="9" t="str">
        <x:v>Original production (began 1993 as an Amiga project)</x:v>
      </x:c>
      <x:c r="S473" s="9" t="str">
        <x:v>PC (Panasonic 1996), PlayStation (JP 1998, EU/NA 2003), Saturn (JP 1998), Mac (JP 1998) — JP as Baldy Land</x:v>
      </x:c>
      <x:c r="T473" s="9" t="str">
        <x:v>—</x:v>
      </x:c>
      <x:c r="U473" s="9" t="n">
        <x:v>1</x:v>
      </x:c>
      <x:c r="V473" s="9" t="str">
        <x:v>Yes</x:v>
      </x:c>
      <x:c r="W473" s="9" t="str">
        <x:v>Jaguar CD; Memory Track cartridge for saves (passwords otherwise). Planned mouse bundle never shipped.</x:v>
      </x:c>
      <x:c r="X473" s="9" t="str">
        <x:v>Low</x:v>
      </x:c>
      <x:c r="Y473" s="9" t="str"/>
      <x:c r="Z473" s="9" t="str">
        <x:v>8–15 hr</x:v>
      </x:c>
      <x:c r="AA473" s="9" t="str">
        <x:v>Bald men breed, build and bomb hairy rivals in a cartoonish RTS with grim claymation interludes.</x:v>
      </x:c>
      <x:c r="AB473" s="9" t="str">
        <x:v>None known</x:v>
      </x:c>
      <x:c r="AC473" s="9" t="str">
        <x:v>Short claymation video sequences in a small window (verify size/frame rate)</x:v>
      </x:c>
      <x:c r="AD473" s="9" t="str">
        <x:v>Moderate; awkward on the Jaguar pad</x:v>
      </x:c>
      <x:c r="AE473" s="9" t="str">
        <x:v>Single campaign ending</x:v>
      </x:c>
      <x:c r="AF473" s="9" t="str">
        <x:v>At about 75 MB it is the smallest Jaguar CD game. It was meant to ship with a mouse but released without mouse support.</x:v>
      </x:c>
      <x:c r="AG473" s="9" t="str">
        <x:v>Single NA/EU release</x:v>
      </x:c>
      <x:c r="AH473" s="9" t="str">
        <x:v>No</x:v>
      </x:c>
      <x:c r="AI473" s="9" t="str">
        <x:v>Add-on required</x:v>
      </x:c>
      <x:c r="AJ473" s="9" t="str">
        <x:v>Original Jaguar + Jaguar CD, or BigPEmu (PC, Linux, Android, Xbox) runs Jaguar CD images well; PC/PS1 versions exist</x:v>
      </x:c>
      <x:c r="AK473" s="9" t="str">
        <x:v>Video is limited to claymation intermissions, so fmv is low. Saves via Memory Track or passwords.</x:v>
      </x:c>
      <x:c r="AL473" s="10" t="n">
        <x:v>21.37</x:v>
      </x:c>
      <x:c r="AM473" s="10" t="n">
        <x:v>49.31</x:v>
      </x:c>
      <x:c r="AN473" s="10" t="n">
        <x:v>49.95</x:v>
      </x:c>
      <x:c r="AO473" s="9" t="str">
        <x:v>2026-10-24</x:v>
      </x:c>
      <x:c r="AP473" s="11" t="str">
        <x:f>HYPERLINK("https://www.pricecharting.com/search-products?q=Baldies+jaguar+cd&amp;type=prices","PriceCharting")</x:f>
        <x:v>PriceCharting</x:v>
      </x:c>
      <x:c r="AQ473" s="9"/>
      <x:c r="AR473" s="9"/>
      <x:c r="AS473" s="9"/>
      <x:c r="AT473" s="9"/>
      <x:c r="AU473" s="9"/>
      <x:c r="AV473" s="9"/>
      <x:c r="AW473" s="9"/>
      <x:c r="AX473" s="9"/>
      <x:c r="AY473" s="9" t="str">
        <x:v>63%</x:v>
      </x:c>
      <x:c r="AZ473" s="9" t="str">
        <x:v>3.8</x:v>
      </x:c>
      <x:c r="BA473" s="11" t="str">
        <x:f>HYPERLINK("https://www.mobygames.com/game/jaguar/baldies","MobyGames")</x:f>
        <x:v>MobyGames</x:v>
      </x:c>
      <x:c r="BB473" s="9"/>
      <x:c r="BC473" s="9"/>
      <x:c r="BD473" s="9"/>
      <x:c r="BE473" s="11" t="str">
        <x:f>HYPERLINK("https://en.wikipedia.org/wiki/Baldies","Wikipedia")</x:f>
        <x:v>Wikipedia</x:v>
      </x:c>
      <x:c r="BF473" s="11" t="str">
        <x:f>HYPERLINK("https://backloggd.com/search/games/Baldies/","Backloggd")</x:f>
        <x:v>Backloggd</x:v>
      </x:c>
      <x:c r="BG473" s="9"/>
      <x:c r="BH473" s="9"/>
      <x:c r="BI473" s="12" t="str">
        <x:v>No</x:v>
      </x:c>
      <x:c r="BJ473" s="12" t="str"/>
      <x:c r="BK473" s="12" t="str">
        <x:v>No</x:v>
      </x:c>
      <x:c r="BL473" s="12" t="str"/>
      <x:c r="BM473" s="12" t="str"/>
      <x:c r="BN473" s="12" t="str"/>
      <x:c r="BO473" s="12" t="str"/>
      <x:c r="BP473" s="12" t="str"/>
      <x:c r="BQ473" s="12" t="str"/>
    </x:row>
    <x:row r="474">
      <x:c r="A474" s="9" t="str">
        <x:v>jaguarcd-2</x:v>
      </x:c>
      <x:c r="B474" s="9" t="str">
        <x:v>battlemorph</x:v>
      </x:c>
      <x:c r="C474" s="9" t="str">
        <x:v>Atari Jaguar CD</x:v>
      </x:c>
      <x:c r="D474" s="9" t="str">
        <x:v>Battlemorph</x:v>
      </x:c>
      <x:c r="E474" s="9" t="str"/>
      <x:c r="F474" s="9" t="str">
        <x:v>Attention to Detail</x:v>
      </x:c>
      <x:c r="G474" s="9" t="str">
        <x:v>Atari Corporation (NA/EU); Songbird Productions reprint 2021</x:v>
      </x:c>
      <x:c r="H474" s="9" t="n">
        <x:v>1995</x:v>
      </x:c>
      <x:c r="I474" s="9" t="str">
        <x:v>Yes</x:v>
      </x:c>
      <x:c r="J474" s="9" t="str">
        <x:v>No</x:v>
      </x:c>
      <x:c r="K474" s="9" t="str">
        <x:v>Yes</x:v>
      </x:c>
      <x:c r="L474" s="9" t="str">
        <x:v>No</x:v>
      </x:c>
      <x:c r="M474" s="9" t="str">
        <x:v>3D flight/combat shooter</x:v>
      </x:c>
      <x:c r="N474" s="9" t="str">
        <x:v>Pre-rendered CG</x:v>
      </x:c>
      <x:c r="O474" s="9" t="n">
        <x:v>2</x:v>
      </x:c>
      <x:c r="P474" s="9" t="str">
        <x:v>Cutscenes only</x:v>
      </x:c>
      <x:c r="Q474" s="9" t="str">
        <x:v>Released</x:v>
      </x:c>
      <x:c r="R474" s="9" t="str">
        <x:v>Original production (sequel to Cybermorph)</x:v>
      </x:c>
      <x:c r="S474" s="9" t="str">
        <x:v>—</x:v>
      </x:c>
      <x:c r="T474" s="9" t="str">
        <x:v>—</x:v>
      </x:c>
      <x:c r="U474" s="9" t="n">
        <x:v>1</x:v>
      </x:c>
      <x:c r="V474" s="9" t="str">
        <x:v>Yes</x:v>
      </x:c>
      <x:c r="W474" s="9" t="str">
        <x:v>Jaguar CD; Memory Track cartridge for saves</x:v>
      </x:c>
      <x:c r="X474" s="9" t="str">
        <x:v>Low</x:v>
      </x:c>
      <x:c r="Y474" s="9" t="str"/>
      <x:c r="Z474" s="9" t="str">
        <x:v>5–8 hr</x:v>
      </x:c>
      <x:c r="AA474" s="9" t="str">
        <x:v>The sequel to the Jaguar's much-mocked pack-in Cybermorph turned out to be one of the add-on's best games.</x:v>
      </x:c>
      <x:c r="AB474" s="9" t="str">
        <x:v>None known</x:v>
      </x:c>
      <x:c r="AC474" s="9" t="str">
        <x:v>Pre-rendered CG intro and intermission cutscenes (verify window size/frame rate)</x:v>
      </x:c>
      <x:c r="AD474" s="9" t="str">
        <x:v>Moderate, gets tough in later worlds</x:v>
      </x:c>
      <x:c r="AE474" s="9" t="str">
        <x:v>Single ending</x:v>
      </x:c>
      <x:c r="AF474" s="9" t="str">
        <x:v>FMV cutscenes were made by Jon Baker, Vince Shaw-Morton and Joanne Surman. Songbird Productions bought the rights in 2020 and reprinted it in 2021.</x:v>
      </x:c>
      <x:c r="AG474" s="9" t="str">
        <x:v>1995 Atari release; 2021 Songbird Productions limited reprint</x:v>
      </x:c>
      <x:c r="AH474" s="9" t="str">
        <x:v>Yes (Songbird Productions Jaguar CD reprint, 2021)</x:v>
      </x:c>
      <x:c r="AI474" s="9" t="str">
        <x:v>Add-on required</x:v>
      </x:c>
      <x:c r="AJ474" s="9" t="str">
        <x:v>Original Jaguar + Jaguar CD (1995 disc or Songbird reprint), or BigPEmu (PC, Linux, Android, Xbox) runs Jaguar CD images well</x:v>
      </x:c>
      <x:c r="AK474" s="9" t="str">
        <x:v>Cheats not confirmed. Critical reception strong (Next Generation 4/5, AllGame 4.5/5).</x:v>
      </x:c>
      <x:c r="AL474" s="10" t="n">
        <x:v>44.84</x:v>
      </x:c>
      <x:c r="AM474" s="10" t="n">
        <x:v>94.25</x:v>
      </x:c>
      <x:c r="AN474" s="10" t="n">
        <x:v>107.84</x:v>
      </x:c>
      <x:c r="AO474" s="9" t="str">
        <x:v>2026-10-24</x:v>
      </x:c>
      <x:c r="AP474" s="11" t="str">
        <x:f>HYPERLINK("https://www.pricecharting.com/search-products?q=Battlemorph+jaguar+cd&amp;type=prices","PriceCharting")</x:f>
        <x:v>PriceCharting</x:v>
      </x:c>
      <x:c r="AQ474" s="9"/>
      <x:c r="AR474" s="9"/>
      <x:c r="AS474" s="9"/>
      <x:c r="AT474" s="9"/>
      <x:c r="AU474" s="9"/>
      <x:c r="AV474" s="9"/>
      <x:c r="AW474" s="9"/>
      <x:c r="AX474" s="9"/>
      <x:c r="AY474" s="9"/>
      <x:c r="AZ474" s="9"/>
      <x:c r="BA474" s="11" t="str">
        <x:f>HYPERLINK("https://www.mobygames.com/search/?q=Battlemorph","MobyGames")</x:f>
        <x:v>MobyGames</x:v>
      </x:c>
      <x:c r="BB474" s="9" t="str">
        <x:v>82%</x:v>
      </x:c>
      <x:c r="BC474" s="9" t="str">
        <x:v>average of 14 reviews on Wikipedia (Allgame, Atari Explorer Online, Atari Fan, Atari Gaming Headquarters, Fun Generation, GI, GP, Game Zero Magazine, MG, NGen, ST Magazine, ST-Computer, STFormat, VideoGames)</x:v>
      </x:c>
      <x:c r="BD474" s="9" t="str">
        <x:f>HYPERLINK("https://en.wikipedia.org/wiki/Battlemorph","Source")</x:f>
        <x:v>Source</x:v>
      </x:c>
      <x:c r="BE474" s="11" t="str">
        <x:f>HYPERLINK("https://en.wikipedia.org/wiki/Battlemorph","Wikipedia")</x:f>
        <x:v>Wikipedia</x:v>
      </x:c>
      <x:c r="BF474" s="11" t="str">
        <x:f>HYPERLINK("https://backloggd.com/search/games/Battlemorph/","Backloggd")</x:f>
        <x:v>Backloggd</x:v>
      </x:c>
      <x:c r="BG474" s="9"/>
      <x:c r="BH474" s="9"/>
      <x:c r="BI474" s="12" t="str">
        <x:v>No</x:v>
      </x:c>
      <x:c r="BJ474" s="12" t="str"/>
      <x:c r="BK474" s="12" t="str">
        <x:v>No</x:v>
      </x:c>
      <x:c r="BL474" s="12" t="str"/>
      <x:c r="BM474" s="12" t="str"/>
      <x:c r="BN474" s="12" t="str"/>
      <x:c r="BO474" s="12" t="str"/>
      <x:c r="BP474" s="12" t="str"/>
      <x:c r="BQ474" s="12" t="str"/>
    </x:row>
    <x:row r="475">
      <x:c r="A475" s="9" t="str">
        <x:v>jaguarcd-3</x:v>
      </x:c>
      <x:c r="B475" s="9" t="str">
        <x:v>blue-lightning</x:v>
      </x:c>
      <x:c r="C475" s="9" t="str">
        <x:v>Atari Jaguar CD</x:v>
      </x:c>
      <x:c r="D475" s="9" t="str">
        <x:v>Blue Lightning</x:v>
      </x:c>
      <x:c r="E475" s="9" t="str"/>
      <x:c r="F475" s="9" t="str">
        <x:v>Attention to Detail</x:v>
      </x:c>
      <x:c r="G475" s="9" t="str">
        <x:v>Atari Corporation (NA/EU)</x:v>
      </x:c>
      <x:c r="H475" s="9" t="n">
        <x:v>1995</x:v>
      </x:c>
      <x:c r="I475" s="9" t="str">
        <x:v>Yes</x:v>
      </x:c>
      <x:c r="J475" s="9" t="str">
        <x:v>No</x:v>
      </x:c>
      <x:c r="K475" s="9" t="str">
        <x:v>Yes</x:v>
      </x:c>
      <x:c r="L475" s="9" t="str">
        <x:v>No</x:v>
      </x:c>
      <x:c r="M475" s="9" t="str">
        <x:v>Arcade flight combat</x:v>
      </x:c>
      <x:c r="N475" s="9" t="str">
        <x:v>Pre-rendered CG</x:v>
      </x:c>
      <x:c r="O475" s="9" t="n">
        <x:v>2</x:v>
      </x:c>
      <x:c r="P475" s="9" t="str">
        <x:v>Cutscenes only</x:v>
      </x:c>
      <x:c r="Q475" s="9" t="str">
        <x:v>Released</x:v>
      </x:c>
      <x:c r="R475" s="9" t="str">
        <x:v>Remake of Epyx's 1989 Atari Lynx game</x:v>
      </x:c>
      <x:c r="S475" s="9" t="str">
        <x:v>Atari Lynx (1989 original, different game)</x:v>
      </x:c>
      <x:c r="T475" s="9" t="str">
        <x:v>Rob Brydon (voice work)</x:v>
      </x:c>
      <x:c r="U475" s="9" t="n">
        <x:v>1</x:v>
      </x:c>
      <x:c r="V475" s="9" t="str">
        <x:v>Yes</x:v>
      </x:c>
      <x:c r="W475" s="9" t="str">
        <x:v>Jaguar CD; Memory Track cartridge for saves</x:v>
      </x:c>
      <x:c r="X475" s="9" t="str">
        <x:v>Low</x:v>
      </x:c>
      <x:c r="Y475" s="9" t="str"/>
      <x:c r="Z475" s="9" t="str">
        <x:v>2–4 hr</x:v>
      </x:c>
      <x:c r="AA475" s="9" t="str">
        <x:v>The Jaguar CD's own pack-in, an After Burner wannabe that reviewers savaged, Rob Brydon voice included.</x:v>
      </x:c>
      <x:c r="AB475" s="9" t="str">
        <x:v>None known</x:v>
      </x:c>
      <x:c r="AC475" s="9" t="str">
        <x:v>Pre-rendered intro and cutscenes (verify window size/frame rate)</x:v>
      </x:c>
      <x:c r="AD475" s="9" t="str">
        <x:v>Easy to moderate; three difficulty levels</x:v>
      </x:c>
      <x:c r="AE475" s="9" t="str">
        <x:v>Single ending after the Arctic tour</x:v>
      </x:c>
      <x:c r="AF475" s="9" t="str">
        <x:v>Announced in 1994 as "Blue Lightning 2". It was one of two Jaguar CD pack-ins (with Vid Grid) at the September 1995 launch.</x:v>
      </x:c>
      <x:c r="AG475" s="9" t="str">
        <x:v>Standalone and Jaguar CD pack-in copies</x:v>
      </x:c>
      <x:c r="AH475" s="9" t="str">
        <x:v>No</x:v>
      </x:c>
      <x:c r="AI475" s="9" t="str">
        <x:v>Add-on required</x:v>
      </x:c>
      <x:c r="AJ475" s="9" t="str">
        <x:v>Original Jaguar + Jaguar CD, or BigPEmu (PC, Linux, Android, Xbox) runs Jaguar CD images well</x:v>
      </x:c>
      <x:c r="AK475" s="9" t="str">
        <x:v>Reviews very poor (EGM 9/40, AllGame 1/5).</x:v>
      </x:c>
      <x:c r="AL475" s="10" t="n">
        <x:v>13.48</x:v>
      </x:c>
      <x:c r="AM475" s="10" t="n">
        <x:v>22.25</x:v>
      </x:c>
      <x:c r="AN475" s="10" t="n">
        <x:v>45</x:v>
      </x:c>
      <x:c r="AO475" s="9" t="str">
        <x:v>2026-10-24</x:v>
      </x:c>
      <x:c r="AP475" s="11" t="str">
        <x:f>HYPERLINK("https://www.pricecharting.com/search-products?q=Blue+Lightning+jaguar+cd&amp;type=prices","PriceCharting")</x:f>
        <x:v>PriceCharting</x:v>
      </x:c>
      <x:c r="AQ475" s="9"/>
      <x:c r="AR475" s="9"/>
      <x:c r="AS475" s="9"/>
      <x:c r="AT475" s="9"/>
      <x:c r="AU475" s="9"/>
      <x:c r="AV475" s="9"/>
      <x:c r="AW475" s="9"/>
      <x:c r="AX475" s="9"/>
      <x:c r="AY475" s="9" t="str">
        <x:v>47%</x:v>
      </x:c>
      <x:c r="AZ475" s="9" t="str">
        <x:v>2.1</x:v>
      </x:c>
      <x:c r="BA475" s="11" t="str">
        <x:f>HYPERLINK("https://www.mobygames.com/game/jaguar/blue-lightning","MobyGames")</x:f>
        <x:v>MobyGames</x:v>
      </x:c>
      <x:c r="BB475" s="9"/>
      <x:c r="BC475" s="9"/>
      <x:c r="BD475" s="9"/>
      <x:c r="BE475" s="11" t="str">
        <x:f>HYPERLINK("https://en.wikipedia.org/wiki/Blue_Lightning_(1995_video_game)","Wikipedia")</x:f>
        <x:v>Wikipedia</x:v>
      </x:c>
      <x:c r="BF475" s="11" t="str">
        <x:f>HYPERLINK("https://backloggd.com/search/games/Blue%20Lightning/","Backloggd")</x:f>
        <x:v>Backloggd</x:v>
      </x:c>
      <x:c r="BG475" s="9"/>
      <x:c r="BH475" s="9"/>
      <x:c r="BI475" s="12" t="str">
        <x:v>No</x:v>
      </x:c>
      <x:c r="BJ475" s="12" t="str"/>
      <x:c r="BK475" s="12" t="str">
        <x:v>No</x:v>
      </x:c>
      <x:c r="BL475" s="12" t="str"/>
      <x:c r="BM475" s="12" t="str"/>
      <x:c r="BN475" s="12" t="str"/>
      <x:c r="BO475" s="12" t="str"/>
      <x:c r="BP475" s="12" t="str"/>
      <x:c r="BQ475" s="12" t="str"/>
    </x:row>
    <x:row r="476">
      <x:c r="A476" s="9" t="str">
        <x:v>jaguarcd-4</x:v>
      </x:c>
      <x:c r="B476" s="9" t="str">
        <x:v>brain-dead-13</x:v>
      </x:c>
      <x:c r="C476" s="9" t="str">
        <x:v>Atari Jaguar CD</x:v>
      </x:c>
      <x:c r="D476" s="9" t="str">
        <x:v>Brain Dead 13</x:v>
      </x:c>
      <x:c r="E476" s="9" t="str"/>
      <x:c r="F476" s="9" t="str">
        <x:v>ReadySoft</x:v>
      </x:c>
      <x:c r="G476" s="9" t="str">
        <x:v>ReadySoft (NA/EU)</x:v>
      </x:c>
      <x:c r="H476" s="9" t="n">
        <x:v>1996</x:v>
      </x:c>
      <x:c r="I476" s="9" t="str">
        <x:v>Yes</x:v>
      </x:c>
      <x:c r="J476" s="9" t="str">
        <x:v>No</x:v>
      </x:c>
      <x:c r="K476" s="9" t="str">
        <x:v>Yes</x:v>
      </x:c>
      <x:c r="L476" s="9" t="str">
        <x:v>No</x:v>
      </x:c>
      <x:c r="M476" s="9" t="str">
        <x:v>Animated interactive movie</x:v>
      </x:c>
      <x:c r="N476" s="9" t="str">
        <x:v>Animated</x:v>
      </x:c>
      <x:c r="O476" s="9" t="n">
        <x:v>10</x:v>
      </x:c>
      <x:c r="P476" s="9" t="str">
        <x:v>Interactive movie</x:v>
      </x:c>
      <x:c r="Q476" s="9" t="str">
        <x:v>Released</x:v>
      </x:c>
      <x:c r="R476" s="9" t="str">
        <x:v>PC original (ReadySoft, 1995)</x:v>
      </x:c>
      <x:c r="S476" s="9" t="str">
        <x:v>MS-DOS, Windows, Mac, PlayStation, Saturn, 3DO, CD-i, iOS</x:v>
      </x:c>
      <x:c r="T476" s="9" t="str">
        <x:v>Riccardo Durante (Lance), Dave Quesnelle (Dr. Nero Neurosis), June Brown (Vivi), Blayne Burnside (Moose)</x:v>
      </x:c>
      <x:c r="U476" s="9" t="n">
        <x:v>1</x:v>
      </x:c>
      <x:c r="V476" s="9" t="str">
        <x:v>Unknown — verify</x:v>
      </x:c>
      <x:c r="W476" s="9" t="str">
        <x:v>Jaguar CD</x:v>
      </x:c>
      <x:c r="X476" s="9" t="str">
        <x:v>Low</x:v>
      </x:c>
      <x:c r="Y476" s="9" t="str"/>
      <x:c r="Z476" s="9" t="str">
        <x:v>45–90 min</x:v>
      </x:c>
      <x:c r="AA476" s="9" t="str">
        <x:v>Don Bluth-style cartoon chaos in a mad scientist's castle, with Fritz chasing Lance through every room.</x:v>
      </x:c>
      <x:c r="AB476" s="9" t="str">
        <x:v>None known</x:v>
      </x:c>
      <x:c r="AC476" s="9" t="str">
        <x:v>Single-disc release, so video is more compressed than the two-disc 3DO/PS1 versions (verify window size)</x:v>
      </x:c>
      <x:c r="AD476" s="9" t="str">
        <x:v>Hard; trial-and-error timing with unreliable input windows</x:v>
      </x:c>
      <x:c r="AE476" s="9" t="str">
        <x:v>One ending; non-linear room order</x:v>
      </x:c>
      <x:c r="AF476" s="9" t="str">
        <x:v>The PC, Saturn and Jaguar CD versions fit on one disc, while 3DO and PlayStation needed two, so the single-disc versions have lower video quality.</x:v>
      </x:c>
      <x:c r="AG476" s="9" t="str">
        <x:v>NA and EU releases</x:v>
      </x:c>
      <x:c r="AH476" s="9" t="str">
        <x:v>No verified current digital sale; historical iOS edition and original discs.</x:v>
      </x:c>
      <x:c r="AI476" s="9" t="str">
        <x:v>Expensive</x:v>
      </x:c>
      <x:c r="AJ476" s="9" t="str">
        <x:v>Original Jaguar + Jaguar CD (pricey), or BigPEmu (PC, Linux, Android, Xbox) runs Jaguar CD images well; cheaper on PC/PS1/iOS</x:v>
      </x:c>
      <x:c r="AK476" s="9" t="str">
        <x:v>Loose price about $139, so marked Expensive.</x:v>
      </x:c>
      <x:c r="AL476" s="10" t="n">
        <x:v>138.85</x:v>
      </x:c>
      <x:c r="AM476" s="10" t="n">
        <x:v>307.76</x:v>
      </x:c>
      <x:c r="AN476" s="10" t="n">
        <x:v>624.83</x:v>
      </x:c>
      <x:c r="AO476" s="9" t="str">
        <x:v>2026-10-24</x:v>
      </x:c>
      <x:c r="AP476" s="11" t="str">
        <x:f>HYPERLINK("https://www.pricecharting.com/search-products?q=Brain+Dead+13+jaguar+cd&amp;type=prices","PriceCharting")</x:f>
        <x:v>PriceCharting</x:v>
      </x:c>
      <x:c r="AQ476" s="9"/>
      <x:c r="AR476" s="9"/>
      <x:c r="AS476" s="9"/>
      <x:c r="AT476" s="9"/>
      <x:c r="AU476" s="9"/>
      <x:c r="AV476" s="9"/>
      <x:c r="AW476" s="9"/>
      <x:c r="AX476" s="9"/>
      <x:c r="AY476" s="9"/>
      <x:c r="AZ476" s="9" t="str">
        <x:v>4.0</x:v>
      </x:c>
      <x:c r="BA476" s="11" t="str">
        <x:f>HYPERLINK("https://www.mobygames.com/game/jaguar/brain-dead-13","MobyGames")</x:f>
        <x:v>MobyGames</x:v>
      </x:c>
      <x:c r="BB476" s="9"/>
      <x:c r="BC476" s="9"/>
      <x:c r="BD476" s="9"/>
      <x:c r="BE476" s="11" t="str">
        <x:f>HYPERLINK("https://en.wikipedia.org/wiki/Brain_Dead_13","Wikipedia")</x:f>
        <x:v>Wikipedia</x:v>
      </x:c>
      <x:c r="BF476" s="11" t="str">
        <x:f>HYPERLINK("https://backloggd.com/search/games/Brain%20Dead%2013/","Backloggd")</x:f>
        <x:v>Backloggd</x:v>
      </x:c>
      <x:c r="BG476" s="9"/>
      <x:c r="BH476" s="9"/>
      <x:c r="BI476" s="12" t="str">
        <x:v>No</x:v>
      </x:c>
      <x:c r="BJ476" s="12" t="str"/>
      <x:c r="BK476" s="12" t="str">
        <x:v>No</x:v>
      </x:c>
      <x:c r="BL476" s="12" t="str"/>
      <x:c r="BM476" s="12" t="str"/>
      <x:c r="BN476" s="12" t="str"/>
      <x:c r="BO476" s="12" t="str"/>
      <x:c r="BP476" s="12" t="str"/>
      <x:c r="BQ476" s="12" t="str"/>
    </x:row>
    <x:row r="477">
      <x:c r="A477" s="9" t="str">
        <x:v>jaguarcd-5</x:v>
      </x:c>
      <x:c r="B477" s="9" t="str">
        <x:v>dragons-lair</x:v>
      </x:c>
      <x:c r="C477" s="9" t="str">
        <x:v>Atari Jaguar CD</x:v>
      </x:c>
      <x:c r="D477" s="9" t="str">
        <x:v>Dragon's Lair</x:v>
      </x:c>
      <x:c r="E477" s="9" t="str"/>
      <x:c r="F477" s="9" t="str">
        <x:v>Advanced Microcomputer Systems / Don Bluth (original); ReadySoft (Jaguar CD port)</x:v>
      </x:c>
      <x:c r="G477" s="9" t="str">
        <x:v>ReadySoft (NA/EU)</x:v>
      </x:c>
      <x:c r="H477" s="9" t="n">
        <x:v>1995</x:v>
      </x:c>
      <x:c r="I477" s="9" t="str">
        <x:v>Yes</x:v>
      </x:c>
      <x:c r="J477" s="9" t="str">
        <x:v>No</x:v>
      </x:c>
      <x:c r="K477" s="9" t="str">
        <x:v>Yes</x:v>
      </x:c>
      <x:c r="L477" s="9" t="str">
        <x:v>No</x:v>
      </x:c>
      <x:c r="M477" s="9" t="str">
        <x:v>Laserdisc QTE adventure</x:v>
      </x:c>
      <x:c r="N477" s="9" t="str">
        <x:v>Animated</x:v>
      </x:c>
      <x:c r="O477" s="9" t="n">
        <x:v>10</x:v>
      </x:c>
      <x:c r="P477" s="9" t="str">
        <x:v>Laserdisc port</x:v>
      </x:c>
      <x:c r="Q477" s="9" t="str">
        <x:v>Released</x:v>
      </x:c>
      <x:c r="R477" s="9" t="str">
        <x:v>Arcade laserdisc game (Cinematronics, 1983)</x:v>
      </x:c>
      <x:c r="S477" s="9" t="str">
        <x:v>Arcade, Sega CD, 3DO, CD-i, PC, Mac, DVD, Blu-ray, Wii, iOS, DS, PSP, Steam, PS4, Switch, Xbox One and more</x:v>
      </x:c>
      <x:c r="T477" s="9" t="str">
        <x:v>Dan Molina (Dirk), Vera Lanpher (Daphne), Michael Rye (narrator)</x:v>
      </x:c>
      <x:c r="U477" s="9" t="n">
        <x:v>1</x:v>
      </x:c>
      <x:c r="V477" s="9" t="str">
        <x:v>No</x:v>
      </x:c>
      <x:c r="W477" s="9" t="str">
        <x:v>Jaguar CD</x:v>
      </x:c>
      <x:c r="X477" s="9" t="str">
        <x:v>Low</x:v>
      </x:c>
      <x:c r="Y477" s="9" t="str"/>
      <x:c r="Z477" s="9" t="str">
        <x:v>15–30 min</x:v>
      </x:c>
      <x:c r="AA477" s="9" t="str">
        <x:v>Don Bluth's laserdisc legend on Atari's doomed add-on, often called better than the Sega CD and 3DO versions.</x:v>
      </x:c>
      <x:c r="AB477" s="9" t="str">
        <x:v>None known</x:v>
      </x:c>
      <x:c r="AC477" s="9" t="str">
        <x:v>Full-screen animated video, compressed (verify resolution/frame rate)</x:v>
      </x:c>
      <x:c r="AD477" s="9" t="str">
        <x:v>Hard; memorise every move</x:v>
      </x:c>
      <x:c r="AE477" s="9" t="str">
        <x:v>One ending (rescue Daphne)</x:v>
      </x:c>
      <x:c r="AF477" s="9" t="str">
        <x:v>The animators voiced most minor characters themselves to keep costs down.</x:v>
      </x:c>
      <x:c r="AG477" s="9" t="str">
        <x:v>NA and EU releases</x:v>
      </x:c>
      <x:c r="AH477" s="9" t="str">
        <x:v>Yes (Digital Leisure: Steam, Switch, PS4, Xbox One, iOS, Dragon's Lair Trilogy)</x:v>
      </x:c>
      <x:c r="AI477" s="9" t="str">
        <x:v>Add-on required</x:v>
      </x:c>
      <x:c r="AJ477" s="9" t="str">
        <x:v>Original Jaguar + Jaguar CD, or BigPEmu (PC, Linux, Android, Xbox) runs Jaguar CD images well; modern Digital Leisure releases</x:v>
      </x:c>
      <x:c r="AK477" s="9" t="str">
        <x:v>Some sources say the Jaguar CD version is the full arcade game; completeness and scene order not confirmed (verify).</x:v>
      </x:c>
      <x:c r="AL477" s="10" t="n">
        <x:v>60</x:v>
      </x:c>
      <x:c r="AM477" s="10" t="n">
        <x:v>61.19</x:v>
      </x:c>
      <x:c r="AN477" s="10" t="n">
        <x:v>132.5</x:v>
      </x:c>
      <x:c r="AO477" s="9" t="str">
        <x:v>2026-10-24</x:v>
      </x:c>
      <x:c r="AP477" s="11" t="str">
        <x:f>HYPERLINK("https://www.pricecharting.com/search-products?q=Dragon%27s+Lair+jaguar+cd&amp;type=prices","PriceCharting")</x:f>
        <x:v>PriceCharting</x:v>
      </x:c>
      <x:c r="AQ477" s="9"/>
      <x:c r="AR477" s="9"/>
      <x:c r="AS477" s="9"/>
      <x:c r="AT477" s="9"/>
      <x:c r="AU477" s="9"/>
      <x:c r="AV477" s="9"/>
      <x:c r="AW477" s="9"/>
      <x:c r="AX477" s="9"/>
      <x:c r="AY477" s="9"/>
      <x:c r="AZ477" s="9" t="str">
        <x:v>4.1</x:v>
      </x:c>
      <x:c r="BA477" s="11" t="str">
        <x:f>HYPERLINK("https://www.mobygames.com/game/jaguar/dragons-lair","MobyGames")</x:f>
        <x:v>MobyGames</x:v>
      </x:c>
      <x:c r="BB477" s="9"/>
      <x:c r="BC477" s="9"/>
      <x:c r="BD477" s="9"/>
      <x:c r="BE477" s="11" t="str">
        <x:f>HYPERLINK("https://en.wikipedia.org/wiki/Dragon%27s_Lair_(1983_video_game)","Wikipedia")</x:f>
        <x:v>Wikipedia</x:v>
      </x:c>
      <x:c r="BF477" s="11" t="str">
        <x:f>HYPERLINK("https://backloggd.com/search/games/Dragon%27s%20Lair/","Backloggd")</x:f>
        <x:v>Backloggd</x:v>
      </x:c>
      <x:c r="BG477" s="9"/>
      <x:c r="BH477" s="9"/>
      <x:c r="BI477" s="12" t="str">
        <x:v>No</x:v>
      </x:c>
      <x:c r="BJ477" s="12" t="str"/>
      <x:c r="BK477" s="12" t="str">
        <x:v>No</x:v>
      </x:c>
      <x:c r="BL477" s="12" t="str"/>
      <x:c r="BM477" s="12" t="str"/>
      <x:c r="BN477" s="12" t="str"/>
      <x:c r="BO477" s="12" t="str"/>
      <x:c r="BP477" s="12" t="str"/>
      <x:c r="BQ477" s="12" t="str"/>
    </x:row>
    <x:row r="478">
      <x:c r="A478" s="9" t="str">
        <x:v>jaguarcd-6</x:v>
      </x:c>
      <x:c r="B478" s="9" t="str">
        <x:v>highlander-the-last-of-the-macleods</x:v>
      </x:c>
      <x:c r="C478" s="9" t="str">
        <x:v>Atari Jaguar CD</x:v>
      </x:c>
      <x:c r="D478" s="9" t="str">
        <x:v>Highlander: The Last of the MacLeods</x:v>
      </x:c>
      <x:c r="E478" s="9" t="str"/>
      <x:c r="F478" s="9" t="str">
        <x:v>Lore Design Limited</x:v>
      </x:c>
      <x:c r="G478" s="9" t="str">
        <x:v>Atari Corporation (NA/EU)</x:v>
      </x:c>
      <x:c r="H478" s="9" t="n">
        <x:v>1995</x:v>
      </x:c>
      <x:c r="I478" s="9" t="str">
        <x:v>Yes</x:v>
      </x:c>
      <x:c r="J478" s="9" t="str">
        <x:v>No</x:v>
      </x:c>
      <x:c r="K478" s="9" t="str">
        <x:v>Yes</x:v>
      </x:c>
      <x:c r="L478" s="9" t="str">
        <x:v>No</x:v>
      </x:c>
      <x:c r="M478" s="9" t="str">
        <x:v>3D action-adventure</x:v>
      </x:c>
      <x:c r="N478" s="9" t="str">
        <x:v>Animated</x:v>
      </x:c>
      <x:c r="O478" s="9" t="n">
        <x:v>3</x:v>
      </x:c>
      <x:c r="P478" s="9" t="str">
        <x:v>Cutscenes only</x:v>
      </x:c>
      <x:c r="Q478" s="9" t="str">
        <x:v>Released</x:v>
      </x:c>
      <x:c r="R478" s="9" t="str">
        <x:v>Licence: Highlander: The Animated Series (1994)</x:v>
      </x:c>
      <x:c r="S478" s="9" t="str">
        <x:v>PC port cancelled (beta surfaced 2004)</x:v>
      </x:c>
      <x:c r="T478" s="9" t="str">
        <x:v>Voice cast of the animated series reprise their roles (names not confirmed — verify)</x:v>
      </x:c>
      <x:c r="U478" s="9" t="n">
        <x:v>1</x:v>
      </x:c>
      <x:c r="V478" s="9" t="str">
        <x:v>Yes</x:v>
      </x:c>
      <x:c r="W478" s="9" t="str">
        <x:v>Jaguar CD; Memory Track cartridge for saves (verify)</x:v>
      </x:c>
      <x:c r="X478" s="9" t="str">
        <x:v>Med</x:v>
      </x:c>
      <x:c r="Y478" s="9" t="str">
        <x:v>Clips from Highlander: The Animated Series (Gaumont) used as story cutscenes</x:v>
      </x:c>
      <x:c r="Z478" s="9" t="str">
        <x:v>3–6 hr</x:v>
      </x:c>
      <x:c r="AA478" s="9" t="str">
        <x:v>A Resident Evil-style adventure years early, stitched together with clips from the Highlander cartoon.</x:v>
      </x:c>
      <x:c r="AB478" s="9" t="str">
        <x:v>None known</x:v>
      </x:c>
      <x:c r="AC478" s="9" t="str">
        <x:v>Animated series clips as story FMV over pre-rendered backgrounds (verify window size/frame rate)</x:v>
      </x:c>
      <x:c r="AD478" s="9" t="str">
        <x:v>Moderate; clunky combat</x:v>
      </x:c>
      <x:c r="AE478" s="9" t="str">
        <x:v>Single ending; planned sequels never made</x:v>
      </x:c>
      <x:c r="AF478" s="9" t="str">
        <x:v>It began as a fighting game. Lore Design built a motion-capture studio for it, and two announced sequels were never released.</x:v>
      </x:c>
      <x:c r="AG478" s="9" t="str">
        <x:v>Single NA/EU release</x:v>
      </x:c>
      <x:c r="AH478" s="9" t="str">
        <x:v>No</x:v>
      </x:c>
      <x:c r="AI478" s="9" t="str">
        <x:v>Add-on required</x:v>
      </x:c>
      <x:c r="AJ478" s="9" t="str">
        <x:v>Original Jaguar + Jaguar CD, or BigPEmu (PC, Linux, Android, Xbox) runs Jaguar CD images well</x:v>
      </x:c>
      <x:c r="AK478" s="9" t="str">
        <x:v>Next Generation praised the FMV. Score of 4 reflects cartoon clips driving the story over a conventional 3D game (verify the amount of video).</x:v>
      </x:c>
      <x:c r="AL478" s="10" t="n">
        <x:v>31.49</x:v>
      </x:c>
      <x:c r="AM478" s="10" t="n">
        <x:v>50.36</x:v>
      </x:c>
      <x:c r="AN478" s="10" t="n">
        <x:v>59.99</x:v>
      </x:c>
      <x:c r="AO478" s="9" t="str">
        <x:v>2026-10-24</x:v>
      </x:c>
      <x:c r="AP478" s="11" t="str">
        <x:f>HYPERLINK("https://www.pricecharting.com/search-products?q=Highlander%3A+The+Last+of+the+MacLeods+jaguar+cd&amp;type=prices","PriceCharting")</x:f>
        <x:v>PriceCharting</x:v>
      </x:c>
      <x:c r="AQ478" s="9"/>
      <x:c r="AR478" s="9"/>
      <x:c r="AS478" s="9"/>
      <x:c r="AT478" s="9"/>
      <x:c r="AU478" s="9"/>
      <x:c r="AV478" s="9"/>
      <x:c r="AW478" s="9"/>
      <x:c r="AX478" s="9"/>
      <x:c r="AY478" s="9" t="str">
        <x:v>51%</x:v>
      </x:c>
      <x:c r="AZ478" s="9" t="str">
        <x:v>2.9</x:v>
      </x:c>
      <x:c r="BA478" s="11" t="str">
        <x:f>HYPERLINK("https://www.mobygames.com/game/jaguar/highlander-the-last-of-the-macleods","MobyGames")</x:f>
        <x:v>MobyGames</x:v>
      </x:c>
      <x:c r="BB478" s="9"/>
      <x:c r="BC478" s="9"/>
      <x:c r="BD478" s="9"/>
      <x:c r="BE478" s="11" t="str">
        <x:f>HYPERLINK("https://en.wikipedia.org/wiki/Highlander:_The_Last_of_the_MacLeods","Wikipedia")</x:f>
        <x:v>Wikipedia</x:v>
      </x:c>
      <x:c r="BF478" s="11" t="str">
        <x:f>HYPERLINK("https://backloggd.com/search/games/Highlander%3A%20The%20Last%20of%20the%20MacLeods/","Backloggd")</x:f>
        <x:v>Backloggd</x:v>
      </x:c>
      <x:c r="BG478" s="9"/>
      <x:c r="BH478" s="9"/>
      <x:c r="BI478" s="12" t="str">
        <x:v>No</x:v>
      </x:c>
      <x:c r="BJ478" s="12" t="str"/>
      <x:c r="BK478" s="12" t="str">
        <x:v>No</x:v>
      </x:c>
      <x:c r="BL478" s="12" t="str"/>
      <x:c r="BM478" s="12" t="str"/>
      <x:c r="BN478" s="12" t="str"/>
      <x:c r="BO478" s="12" t="str"/>
      <x:c r="BP478" s="12" t="str"/>
      <x:c r="BQ478" s="12" t="str"/>
    </x:row>
    <x:row r="479">
      <x:c r="A479" s="9" t="str">
        <x:v>jaguarcd-7</x:v>
      </x:c>
      <x:c r="B479" s="9" t="str">
        <x:v>hover-strike-unconquered-lands</x:v>
      </x:c>
      <x:c r="C479" s="9" t="str">
        <x:v>Atari Jaguar CD</x:v>
      </x:c>
      <x:c r="D479" s="9" t="str">
        <x:v>Hover Strike: Unconquered Lands</x:v>
      </x:c>
      <x:c r="E479" s="9" t="str">
        <x:v>Hoverstrike: Unconquered Lands</x:v>
      </x:c>
      <x:c r="F479" s="9" t="str">
        <x:v>Atari Corporation</x:v>
      </x:c>
      <x:c r="G479" s="9" t="str">
        <x:v>Atari Corporation (NA/EU)</x:v>
      </x:c>
      <x:c r="H479" s="9" t="n">
        <x:v>1995</x:v>
      </x:c>
      <x:c r="I479" s="9" t="str">
        <x:v>Yes</x:v>
      </x:c>
      <x:c r="J479" s="9" t="str">
        <x:v>No</x:v>
      </x:c>
      <x:c r="K479" s="9" t="str">
        <x:v>Yes</x:v>
      </x:c>
      <x:c r="L479" s="9" t="str">
        <x:v>No</x:v>
      </x:c>
      <x:c r="M479" s="9" t="str">
        <x:v>3D vehicle combat</x:v>
      </x:c>
      <x:c r="N479" s="9" t="str">
        <x:v>Pre-rendered CG</x:v>
      </x:c>
      <x:c r="O479" s="9" t="n">
        <x:v>2</x:v>
      </x:c>
      <x:c r="P479" s="9" t="str">
        <x:v>Cutscenes only</x:v>
      </x:c>
      <x:c r="Q479" s="9" t="str">
        <x:v>Released</x:v>
      </x:c>
      <x:c r="R479" s="9" t="str">
        <x:v>Enhanced remake of the Jaguar cartridge Hover Strike (1995)</x:v>
      </x:c>
      <x:c r="S479" s="9" t="str">
        <x:v>Jaguar cartridge (original Hover Strike)</x:v>
      </x:c>
      <x:c r="T479" s="9" t="str">
        <x:v>—</x:v>
      </x:c>
      <x:c r="U479" s="9" t="n">
        <x:v>1</x:v>
      </x:c>
      <x:c r="V479" s="9" t="str">
        <x:v>Yes</x:v>
      </x:c>
      <x:c r="W479" s="9" t="str">
        <x:v>Jaguar CD; Memory Track cartridge for saves</x:v>
      </x:c>
      <x:c r="X479" s="9" t="str">
        <x:v>Low</x:v>
      </x:c>
      <x:c r="Y479" s="9" t="str"/>
      <x:c r="Z479" s="9" t="str">
        <x:v>4–8 hr</x:v>
      </x:c>
      <x:c r="AA479" s="9" t="str">
        <x:v>Atari's remade hovertank shooter, with new missions and a CD soundtrack.</x:v>
      </x:c>
      <x:c r="AB479" s="9" t="str">
        <x:v>None known</x:v>
      </x:c>
      <x:c r="AC479" s="9" t="str">
        <x:v>CG intro/briefing sequences (verify — some retrospectives describe no FMV at all)</x:v>
      </x:c>
      <x:c r="AD479" s="9" t="str">
        <x:v>Moderate to hard; enemies hard to read</x:v>
      </x:c>
      <x:c r="AE479" s="9" t="str">
        <x:v>Single ending</x:v>
      </x:c>
      <x:c r="AF479" s="9" t="str">
        <x:v>Most of the cartridge team worked on the remake; it shipped 23 October 1995. Source code was included in Jaguar Sector II's 2008 Jaguar Source Code Collection.</x:v>
      </x:c>
      <x:c r="AG479" s="9" t="str">
        <x:v>Single NA/EU release</x:v>
      </x:c>
      <x:c r="AH479" s="9" t="str">
        <x:v>No</x:v>
      </x:c>
      <x:c r="AI479" s="9" t="str">
        <x:v>Add-on required</x:v>
      </x:c>
      <x:c r="AJ479" s="9" t="str">
        <x:v>Original Jaguar + Jaguar CD, or BigPEmu (PC, Linux, Android, Xbox) runs Jaguar CD images well</x:v>
      </x:c>
      <x:c r="AK479" s="9" t="str">
        <x:v>Amount of streamed video not confirmed; fmv may be 0–2 (verify).</x:v>
      </x:c>
      <x:c r="AL479" s="10" t="n">
        <x:v>20</x:v>
      </x:c>
      <x:c r="AM479" s="10" t="n">
        <x:v>40.42</x:v>
      </x:c>
      <x:c r="AN479" s="10" t="n">
        <x:v>67.69</x:v>
      </x:c>
      <x:c r="AO479" s="9" t="str">
        <x:v>2026-10-24</x:v>
      </x:c>
      <x:c r="AP479" s="11" t="str">
        <x:f>HYPERLINK("https://www.pricecharting.com/search-products?q=Hover+Strike%3A+Unconquered+Lands+jaguar+cd&amp;type=prices","PriceCharting")</x:f>
        <x:v>PriceCharting</x:v>
      </x:c>
      <x:c r="AQ479" s="9"/>
      <x:c r="AR479" s="9"/>
      <x:c r="AS479" s="9"/>
      <x:c r="AT479" s="9"/>
      <x:c r="AU479" s="9"/>
      <x:c r="AV479" s="9"/>
      <x:c r="AW479" s="9"/>
      <x:c r="AX479" s="9"/>
      <x:c r="AY479" s="9" t="str">
        <x:v>48%</x:v>
      </x:c>
      <x:c r="AZ479" s="9"/>
      <x:c r="BA479" s="11" t="str">
        <x:f>HYPERLINK("https://www.mobygames.com/game/jaguar/hover-strike-unconquered-lands","MobyGames")</x:f>
        <x:v>MobyGames</x:v>
      </x:c>
      <x:c r="BB479" s="9"/>
      <x:c r="BC479" s="9"/>
      <x:c r="BD479" s="9"/>
      <x:c r="BE479" s="11" t="str">
        <x:f>HYPERLINK("https://en.wikipedia.org/wiki/Hover_Strike:_Unconquered_Lands","Wikipedia")</x:f>
        <x:v>Wikipedia</x:v>
      </x:c>
      <x:c r="BF479" s="11" t="str">
        <x:f>HYPERLINK("https://backloggd.com/search/games/Hover%20Strike%3A%20Unconquered%20Lands/","Backloggd")</x:f>
        <x:v>Backloggd</x:v>
      </x:c>
      <x:c r="BG479" s="9"/>
      <x:c r="BH479" s="9"/>
      <x:c r="BI479" s="12" t="str">
        <x:v>No</x:v>
      </x:c>
      <x:c r="BJ479" s="12" t="str"/>
      <x:c r="BK479" s="12" t="str">
        <x:v>No</x:v>
      </x:c>
      <x:c r="BL479" s="12" t="str"/>
      <x:c r="BM479" s="12" t="str"/>
      <x:c r="BN479" s="12" t="str"/>
      <x:c r="BO479" s="12" t="str"/>
      <x:c r="BP479" s="12" t="str"/>
      <x:c r="BQ479" s="12" t="str"/>
    </x:row>
    <x:row r="480">
      <x:c r="A480" s="9" t="str">
        <x:v>jaguarcd-8</x:v>
      </x:c>
      <x:c r="B480" s="9" t="str">
        <x:v>iron-soldier-2</x:v>
      </x:c>
      <x:c r="C480" s="9" t="str">
        <x:v>Atari Jaguar CD</x:v>
      </x:c>
      <x:c r="D480" s="9" t="str">
        <x:v>Iron Soldier 2</x:v>
      </x:c>
      <x:c r="E480" s="9" t="str"/>
      <x:c r="F480" s="9" t="str">
        <x:v>Eclipse Software Design</x:v>
      </x:c>
      <x:c r="G480" s="9" t="str">
        <x:v>Telegames (NA/EU)</x:v>
      </x:c>
      <x:c r="H480" s="9" t="n">
        <x:v>1997</x:v>
      </x:c>
      <x:c r="I480" s="9" t="str">
        <x:v>Yes</x:v>
      </x:c>
      <x:c r="J480" s="9" t="str">
        <x:v>No</x:v>
      </x:c>
      <x:c r="K480" s="9" t="str">
        <x:v>Yes</x:v>
      </x:c>
      <x:c r="L480" s="9" t="str">
        <x:v>No</x:v>
      </x:c>
      <x:c r="M480" s="9" t="str">
        <x:v>Mech combat</x:v>
      </x:c>
      <x:c r="N480" s="9" t="str">
        <x:v>Pre-rendered CG</x:v>
      </x:c>
      <x:c r="O480" s="9" t="n">
        <x:v>2</x:v>
      </x:c>
      <x:c r="P480" s="9" t="str">
        <x:v>Cutscenes only</x:v>
      </x:c>
      <x:c r="Q480" s="9" t="str">
        <x:v>Released</x:v>
      </x:c>
      <x:c r="R480" s="9" t="str">
        <x:v>Original production (sequel to Iron Soldier, 1994)</x:v>
      </x:c>
      <x:c r="S480" s="9" t="str">
        <x:v>Jaguar cartridge (Dec 1997, no FMV or Redbook audio)</x:v>
      </x:c>
      <x:c r="T480" s="9" t="str">
        <x:v>—</x:v>
      </x:c>
      <x:c r="U480" s="9" t="n">
        <x:v>1</x:v>
      </x:c>
      <x:c r="V480" s="9" t="str">
        <x:v>Yes</x:v>
      </x:c>
      <x:c r="W480" s="9" t="str">
        <x:v>Jaguar CD; Memory Track cartridge for saves</x:v>
      </x:c>
      <x:c r="X480" s="9" t="str">
        <x:v>Low</x:v>
      </x:c>
      <x:c r="Y480" s="9" t="str"/>
      <x:c r="Z480" s="9" t="str">
        <x:v>5–10 hr</x:v>
      </x:c>
      <x:c r="AA480" s="9" t="str">
        <x:v>Giant-robot city stomping on the Jaguar CD, with FMV the cartridge version had to cut.</x:v>
      </x:c>
      <x:c r="AB480" s="9" t="str">
        <x:v>Code in the options menu unlocks the Satyr walker (inputs not confirmed — verify)</x:v>
      </x:c>
      <x:c r="AC480" s="9" t="str">
        <x:v>CG FMV cutscenes (verify window size/frame rate)</x:v>
      </x:c>
      <x:c r="AD480" s="9" t="str">
        <x:v>Hard</x:v>
      </x:c>
      <x:c r="AE480" s="9" t="str">
        <x:v>Single ending</x:v>
      </x:c>
      <x:c r="AF480" s="9" t="str">
        <x:v>The CD shipped 23 April 1997 after replication problems. The later cartridge dropped the FMV and CD music to fit memory.</x:v>
      </x:c>
      <x:c r="AG480" s="9" t="str">
        <x:v>Jaguar CD (Apr 1997) and cartridge (Dec 1997)</x:v>
      </x:c>
      <x:c r="AH480" s="9" t="str">
        <x:v>No</x:v>
      </x:c>
      <x:c r="AI480" s="9" t="str">
        <x:v>Add-on required</x:v>
      </x:c>
      <x:c r="AJ480" s="9" t="str">
        <x:v>Original Jaguar + Jaguar CD, or BigPEmu (PC, Linux, Android, Xbox) runs Jaguar CD images well</x:v>
      </x:c>
      <x:c r="AK480" s="9" t="str">
        <x:v>Released by Telegames after Atari left the market; counted among the 13 official retail Jaguar CD games, so status kept as Released.</x:v>
      </x:c>
      <x:c r="AL480" s="10" t="n">
        <x:v>38.5</x:v>
      </x:c>
      <x:c r="AM480" s="10" t="n">
        <x:v>293.44</x:v>
      </x:c>
      <x:c r="AN480" s="10" t="n">
        <x:v>587</x:v>
      </x:c>
      <x:c r="AO480" s="9" t="str">
        <x:v>2026-10-24</x:v>
      </x:c>
      <x:c r="AP480" s="11" t="str">
        <x:f>HYPERLINK("https://www.pricecharting.com/search-products?q=Iron+Soldier+2+jaguar+cd&amp;type=prices","PriceCharting")</x:f>
        <x:v>PriceCharting</x:v>
      </x:c>
      <x:c r="AQ480" s="9"/>
      <x:c r="AR480" s="9"/>
      <x:c r="AS480" s="9"/>
      <x:c r="AT480" s="9"/>
      <x:c r="AU480" s="9"/>
      <x:c r="AV480" s="9"/>
      <x:c r="AW480" s="9"/>
      <x:c r="AX480" s="9"/>
      <x:c r="AY480" s="9"/>
      <x:c r="AZ480" s="9"/>
      <x:c r="BA480" s="11" t="str">
        <x:f>HYPERLINK("https://www.mobygames.com/search/?q=Iron+Soldier+2","MobyGames")</x:f>
        <x:v>MobyGames</x:v>
      </x:c>
      <x:c r="BB480" s="9" t="str">
        <x:v>89%</x:v>
      </x:c>
      <x:c r="BC480" s="9" t="str">
        <x:v>average of 4 Jaguar reviews on Wikipedia (Allgame, Atari Gaming Headquarters, Digital Press, Jaguar Explorer Online)</x:v>
      </x:c>
      <x:c r="BD480" s="9" t="str">
        <x:f>HYPERLINK("https://en.wikipedia.org/wiki/Iron_Soldier_2","Source")</x:f>
        <x:v>Source</x:v>
      </x:c>
      <x:c r="BE480" s="11" t="str">
        <x:f>HYPERLINK("https://en.wikipedia.org/wiki/Iron_Soldier_2","Wikipedia")</x:f>
        <x:v>Wikipedia</x:v>
      </x:c>
      <x:c r="BF480" s="11" t="str">
        <x:f>HYPERLINK("https://backloggd.com/search/games/Iron%20Soldier%202/","Backloggd")</x:f>
        <x:v>Backloggd</x:v>
      </x:c>
      <x:c r="BG480" s="9"/>
      <x:c r="BH480" s="9"/>
      <x:c r="BI480" s="12" t="str">
        <x:v>No</x:v>
      </x:c>
      <x:c r="BJ480" s="12" t="str"/>
      <x:c r="BK480" s="12" t="str">
        <x:v>No</x:v>
      </x:c>
      <x:c r="BL480" s="12" t="str"/>
      <x:c r="BM480" s="12" t="str"/>
      <x:c r="BN480" s="12" t="str"/>
      <x:c r="BO480" s="12" t="str"/>
      <x:c r="BP480" s="12" t="str"/>
      <x:c r="BQ480" s="12" t="str"/>
    </x:row>
    <x:row r="481">
      <x:c r="A481" s="9" t="str">
        <x:v>jaguarcd-9</x:v>
      </x:c>
      <x:c r="B481" s="9" t="str">
        <x:v>myst</x:v>
      </x:c>
      <x:c r="C481" s="9" t="str">
        <x:v>Atari Jaguar CD</x:v>
      </x:c>
      <x:c r="D481" s="9" t="str">
        <x:v>Myst</x:v>
      </x:c>
      <x:c r="E481" s="9" t="str"/>
      <x:c r="F481" s="9" t="str">
        <x:v>Cyan (original); Jaguar CD port developer not confirmed (verify)</x:v>
      </x:c>
      <x:c r="G481" s="9" t="str">
        <x:v>Atari Corporation (NA/EU)</x:v>
      </x:c>
      <x:c r="H481" s="9" t="n">
        <x:v>1995</x:v>
      </x:c>
      <x:c r="I481" s="9" t="str">
        <x:v>Yes</x:v>
      </x:c>
      <x:c r="J481" s="9" t="str">
        <x:v>No</x:v>
      </x:c>
      <x:c r="K481" s="9" t="str">
        <x:v>Yes</x:v>
      </x:c>
      <x:c r="L481" s="9" t="str">
        <x:v>No</x:v>
      </x:c>
      <x:c r="M481" s="9" t="str">
        <x:v>First-person puzzle adventure</x:v>
      </x:c>
      <x:c r="N481" s="9" t="str">
        <x:v>Live-action + pre-rendered CG</x:v>
      </x:c>
      <x:c r="O481" s="9" t="n">
        <x:v>4</x:v>
      </x:c>
      <x:c r="P481" s="9" t="str">
        <x:v>FMV adventure</x:v>
      </x:c>
      <x:c r="Q481" s="9" t="str">
        <x:v>Released</x:v>
      </x:c>
      <x:c r="R481" s="9" t="str">
        <x:v>Mac original (Cyan / Brøderbund, 1993)</x:v>
      </x:c>
      <x:c r="S481" s="9" t="str">
        <x:v>Mac, PC, Sega Saturn, PlayStation, 3DO, CD-i, PSP, DS, iOS, many modern remakes</x:v>
      </x:c>
      <x:c r="T481" s="9" t="str">
        <x:v>Rand Miller (Atrus), Robyn Miller (Achenar), Rand Miller (Sirrus) — verify</x:v>
      </x:c>
      <x:c r="U481" s="9" t="n">
        <x:v>1</x:v>
      </x:c>
      <x:c r="V481" s="9" t="str">
        <x:v>Yes</x:v>
      </x:c>
      <x:c r="W481" s="9" t="str">
        <x:v>Jaguar CD; Memory Track cartridge for saves (verify)</x:v>
      </x:c>
      <x:c r="X481" s="9" t="str">
        <x:v>Low</x:v>
      </x:c>
      <x:c r="Y481" s="9" t="str"/>
      <x:c r="Z481" s="9" t="str">
        <x:v>4–8 hr (first time)</x:v>
      </x:c>
      <x:c r="AA481" s="9" t="str">
        <x:v>The PC phenomenon on the Jaguar CD: same islands, same live-action brothers in books, joypad-driven.</x:v>
      </x:c>
      <x:c r="AB481" s="9" t="str">
        <x:v>None known</x:v>
      </x:c>
      <x:c r="AC481" s="9" t="str">
        <x:v>QuickTime-style live-action inserts in small windows (verify)</x:v>
      </x:c>
      <x:c r="AD481" s="9" t="str">
        <x:v>Hard puzzles without a guide</x:v>
      </x:c>
      <x:c r="AE481" s="9" t="str">
        <x:v>Four endings (multiple bad endings, one good)</x:v>
      </x:c>
      <x:c r="AF481" s="9" t="str">
        <x:v>GamePro said the main differences from the PC were no mouse and longer load times. A Myst demo disc was bundled with the Jaguar CD.</x:v>
      </x:c>
      <x:c r="AG481" s="9" t="str">
        <x:v>Single release; separate demo disc in Jaguar CD bundles</x:v>
      </x:c>
      <x:c r="AH481" s="9" t="str">
        <x:v>Yes (realMyst, Myst 2021 on PC, consoles, VR)</x:v>
      </x:c>
      <x:c r="AI481" s="9" t="str">
        <x:v>Add-on required</x:v>
      </x:c>
      <x:c r="AJ481" s="9" t="str">
        <x:v>Original Jaguar + Jaguar CD, or BigPEmu (PC, Linux, Android, Xbox) runs Jaguar CD images well; modern Myst on PC/consoles</x:v>
      </x:c>
      <x:c r="AK481" s="9" t="str"/>
      <x:c r="AL481" s="10" t="n">
        <x:v>18.45</x:v>
      </x:c>
      <x:c r="AM481" s="10" t="n">
        <x:v>30.93</x:v>
      </x:c>
      <x:c r="AN481" s="10" t="n">
        <x:v>62</x:v>
      </x:c>
      <x:c r="AO481" s="9" t="str">
        <x:v>2026-10-24</x:v>
      </x:c>
      <x:c r="AP481" s="11" t="str">
        <x:f>HYPERLINK("https://www.pricecharting.com/search-products?q=Myst+jaguar+cd&amp;type=prices","PriceCharting")</x:f>
        <x:v>PriceCharting</x:v>
      </x:c>
      <x:c r="AQ481" s="9"/>
      <x:c r="AR481" s="9"/>
      <x:c r="AS481" s="9"/>
      <x:c r="AT481" s="9"/>
      <x:c r="AU481" s="9"/>
      <x:c r="AV481" s="9"/>
      <x:c r="AW481" s="9"/>
      <x:c r="AX481" s="9"/>
      <x:c r="AY481" s="9"/>
      <x:c r="AZ481" s="9"/>
      <x:c r="BA481" s="11" t="str">
        <x:f>HYPERLINK("https://www.mobygames.com/search/?q=Myst","MobyGames")</x:f>
        <x:v>MobyGames</x:v>
      </x:c>
      <x:c r="BB481" s="9"/>
      <x:c r="BC481" s="9"/>
      <x:c r="BD481" s="9"/>
      <x:c r="BE481" s="11" t="str">
        <x:f>HYPERLINK("https://en.wikipedia.org/wiki/Myst","Wikipedia")</x:f>
        <x:v>Wikipedia</x:v>
      </x:c>
      <x:c r="BF481" s="11" t="str">
        <x:f>HYPERLINK("https://backloggd.com/search/games/Myst/","Backloggd")</x:f>
        <x:v>Backloggd</x:v>
      </x:c>
      <x:c r="BG481" s="9"/>
      <x:c r="BH481" s="9"/>
      <x:c r="BI481" s="12" t="str">
        <x:v>No</x:v>
      </x:c>
      <x:c r="BJ481" s="12" t="str"/>
      <x:c r="BK481" s="12" t="str">
        <x:v>No</x:v>
      </x:c>
      <x:c r="BL481" s="12" t="str"/>
      <x:c r="BM481" s="12" t="str"/>
      <x:c r="BN481" s="12" t="str"/>
      <x:c r="BO481" s="12" t="str"/>
      <x:c r="BP481" s="12" t="str"/>
      <x:c r="BQ481" s="12" t="str"/>
    </x:row>
    <x:row r="482">
      <x:c r="A482" s="9" t="str">
        <x:v>jaguarcd-10</x:v>
      </x:c>
      <x:c r="B482" s="9" t="str">
        <x:v>primal-rage</x:v>
      </x:c>
      <x:c r="C482" s="9" t="str">
        <x:v>Atari Jaguar CD</x:v>
      </x:c>
      <x:c r="D482" s="9" t="str">
        <x:v>Primal Rage</x:v>
      </x:c>
      <x:c r="E482" s="9" t="str"/>
      <x:c r="F482" s="9" t="str">
        <x:v>Probe Entertainment (port); Atari Games (arcade)</x:v>
      </x:c>
      <x:c r="G482" s="9" t="str">
        <x:v>Time Warner Interactive (NA/EU)</x:v>
      </x:c>
      <x:c r="H482" s="9" t="n">
        <x:v>1995</x:v>
      </x:c>
      <x:c r="I482" s="9" t="str">
        <x:v>Yes</x:v>
      </x:c>
      <x:c r="J482" s="9" t="str">
        <x:v>No</x:v>
      </x:c>
      <x:c r="K482" s="9" t="str">
        <x:v>Yes</x:v>
      </x:c>
      <x:c r="L482" s="9" t="str">
        <x:v>No</x:v>
      </x:c>
      <x:c r="M482" s="9" t="str">
        <x:v>Fighting</x:v>
      </x:c>
      <x:c r="N482" s="9" t="str">
        <x:v>Pre-rendered CG</x:v>
      </x:c>
      <x:c r="O482" s="9" t="n">
        <x:v>1</x:v>
      </x:c>
      <x:c r="P482" s="9" t="str">
        <x:v>Cutscenes only</x:v>
      </x:c>
      <x:c r="Q482" s="9" t="str">
        <x:v>Released</x:v>
      </x:c>
      <x:c r="R482" s="9" t="str">
        <x:v>Arcade (Atari Games, 1994)</x:v>
      </x:c>
      <x:c r="S482" s="9" t="str">
        <x:v>Arcade, SNES, Genesis, 32X, Sega CD, 3DO, PlayStation, Saturn, PC, Game Boy, Game Gear, Lynx, Atari 50 / Midway collections</x:v>
      </x:c>
      <x:c r="T482" s="9" t="str">
        <x:v>—</x:v>
      </x:c>
      <x:c r="U482" s="9" t="n">
        <x:v>1</x:v>
      </x:c>
      <x:c r="V482" s="9" t="str">
        <x:v>No</x:v>
      </x:c>
      <x:c r="W482" s="9" t="str">
        <x:v>Jaguar CD; ProController recommended</x:v>
      </x:c>
      <x:c r="X482" s="9" t="str">
        <x:v>Low</x:v>
      </x:c>
      <x:c r="Y482" s="9" t="str"/>
      <x:c r="Z482" s="9" t="str">
        <x:v>20–40 min per character</x:v>
      </x:c>
      <x:c r="AA482" s="9" t="str">
        <x:v>Claymation dinosaur gods fight in what one reviewer calls the best pre-PlayStation version.</x:v>
      </x:c>
      <x:c r="AB482" s="9" t="str">
        <x:v>None known</x:v>
      </x:c>
      <x:c r="AC482" s="9" t="str">
        <x:v>Few video sequences; drops some FMV found on the 3DO version (verify)</x:v>
      </x:c>
      <x:c r="AD482" s="9" t="str">
        <x:v>Moderate; awkward without six buttons</x:v>
      </x:c>
      <x:c r="AE482" s="9" t="str">
        <x:v>Per-character endings</x:v>
      </x:c>
      <x:c r="AF482" s="9" t="str">
        <x:v>Has exclusive tug-of-war and endurance modes.</x:v>
      </x:c>
      <x:c r="AG482" s="9" t="str">
        <x:v>NA and EU releases</x:v>
      </x:c>
      <x:c r="AH482" s="9" t="str">
        <x:v>Yes (Atari 50: The Anniversary Celebration includes the arcade game — verify)</x:v>
      </x:c>
      <x:c r="AI482" s="9" t="str">
        <x:v>Expensive</x:v>
      </x:c>
      <x:c r="AJ482" s="9" t="str">
        <x:v>Original Jaguar + Jaguar CD (pricey), or BigPEmu (PC, Linux, Android, Xbox) runs Jaguar CD images well; arcade on modern collections</x:v>
      </x:c>
      <x:c r="AK482" s="9" t="str">
        <x:v>Loose price about $180, so marked Expensive. fmv 1 because only minor video remains (verify).</x:v>
      </x:c>
      <x:c r="AL482" s="10" t="n">
        <x:v>179.88</x:v>
      </x:c>
      <x:c r="AM482" s="10" t="n">
        <x:v>260.5</x:v>
      </x:c>
      <x:c r="AN482" s="10" t="n">
        <x:v>499.99</x:v>
      </x:c>
      <x:c r="AO482" s="9" t="str">
        <x:v>2026-10-24</x:v>
      </x:c>
      <x:c r="AP482" s="11" t="str">
        <x:f>HYPERLINK("https://www.pricecharting.com/search-products?q=Primal+Rage+jaguar+cd&amp;type=prices","PriceCharting")</x:f>
        <x:v>PriceCharting</x:v>
      </x:c>
      <x:c r="AQ482" s="9"/>
      <x:c r="AR482" s="9"/>
      <x:c r="AS482" s="9"/>
      <x:c r="AT482" s="9"/>
      <x:c r="AU482" s="9"/>
      <x:c r="AV482" s="9"/>
      <x:c r="AW482" s="9"/>
      <x:c r="AX482" s="9"/>
      <x:c r="AY482" s="9"/>
      <x:c r="AZ482" s="9"/>
      <x:c r="BA482" s="11" t="str">
        <x:f>HYPERLINK("https://www.mobygames.com/search/?q=Primal+Rage","MobyGames")</x:f>
        <x:v>MobyGames</x:v>
      </x:c>
      <x:c r="BB482" s="9" t="str">
        <x:v>40%</x:v>
      </x:c>
      <x:c r="BC482" s="9" t="str">
        <x:v>Allgame on Wikipedia, 1 review</x:v>
      </x:c>
      <x:c r="BD482" s="9" t="str">
        <x:f>HYPERLINK("https://en.wikipedia.org/wiki/Primal_Rage","Source")</x:f>
        <x:v>Source</x:v>
      </x:c>
      <x:c r="BE482" s="11" t="str">
        <x:f>HYPERLINK("https://en.wikipedia.org/wiki/Primal_Rage","Wikipedia")</x:f>
        <x:v>Wikipedia</x:v>
      </x:c>
      <x:c r="BF482" s="11" t="str">
        <x:f>HYPERLINK("https://backloggd.com/search/games/Primal%20Rage/","Backloggd")</x:f>
        <x:v>Backloggd</x:v>
      </x:c>
      <x:c r="BG482" s="9"/>
      <x:c r="BH482" s="9"/>
      <x:c r="BI482" s="12" t="str">
        <x:v>No</x:v>
      </x:c>
      <x:c r="BJ482" s="12" t="str"/>
      <x:c r="BK482" s="12" t="str">
        <x:v>No</x:v>
      </x:c>
      <x:c r="BL482" s="12" t="str"/>
      <x:c r="BM482" s="12" t="str"/>
      <x:c r="BN482" s="12" t="str"/>
      <x:c r="BO482" s="12" t="str"/>
      <x:c r="BP482" s="12" t="str"/>
      <x:c r="BQ482" s="12" t="str"/>
    </x:row>
    <x:row r="483">
      <x:c r="A483" s="9" t="str">
        <x:v>jaguarcd-11</x:v>
      </x:c>
      <x:c r="B483" s="9" t="str">
        <x:v>space-ace</x:v>
      </x:c>
      <x:c r="C483" s="9" t="str">
        <x:v>Atari Jaguar CD</x:v>
      </x:c>
      <x:c r="D483" s="9" t="str">
        <x:v>Space Ace</x:v>
      </x:c>
      <x:c r="E483" s="9" t="str"/>
      <x:c r="F483" s="9" t="str">
        <x:v>Advanced Microcomputer Systems / Don Bluth (original); ReadySoft (port)</x:v>
      </x:c>
      <x:c r="G483" s="9" t="str">
        <x:v>ReadySoft (NA/EU)</x:v>
      </x:c>
      <x:c r="H483" s="9" t="n">
        <x:v>1996</x:v>
      </x:c>
      <x:c r="I483" s="9" t="str">
        <x:v>Yes</x:v>
      </x:c>
      <x:c r="J483" s="9" t="str">
        <x:v>No</x:v>
      </x:c>
      <x:c r="K483" s="9" t="str">
        <x:v>Yes</x:v>
      </x:c>
      <x:c r="L483" s="9" t="str">
        <x:v>No</x:v>
      </x:c>
      <x:c r="M483" s="9" t="str">
        <x:v>Laserdisc QTE adventure</x:v>
      </x:c>
      <x:c r="N483" s="9" t="str">
        <x:v>Animated</x:v>
      </x:c>
      <x:c r="O483" s="9" t="n">
        <x:v>10</x:v>
      </x:c>
      <x:c r="P483" s="9" t="str">
        <x:v>Laserdisc port</x:v>
      </x:c>
      <x:c r="Q483" s="9" t="str">
        <x:v>Released</x:v>
      </x:c>
      <x:c r="R483" s="9" t="str">
        <x:v>Arcade laserdisc game (Cinematronics, 1984)</x:v>
      </x:c>
      <x:c r="S483" s="9" t="str">
        <x:v>Arcade, Sega CD, 3DO, CD-i, PC, Mac, DVD, Blu-ray, Wii, iOS, DSiWare, PS3, Steam, Switch</x:v>
      </x:c>
      <x:c r="T483" s="9" t="str">
        <x:v>Will Finn (Dexter), Lorna Cook (Kimberly), Don Bluth (Borf), Michael Rye (narrator)</x:v>
      </x:c>
      <x:c r="U483" s="9" t="n">
        <x:v>1</x:v>
      </x:c>
      <x:c r="V483" s="9" t="str">
        <x:v>No</x:v>
      </x:c>
      <x:c r="W483" s="9" t="str">
        <x:v>Jaguar CD</x:v>
      </x:c>
      <x:c r="X483" s="9" t="str">
        <x:v>Low</x:v>
      </x:c>
      <x:c r="Y483" s="9" t="str"/>
      <x:c r="Z483" s="9" t="str">
        <x:v>15–30 min</x:v>
      </x:c>
      <x:c r="AA483" s="9" t="str">
        <x:v>Dexter turns into Ace and back in Don Bluth's sci-fi follow-up to Dragon's Lair.</x:v>
      </x:c>
      <x:c r="AB483" s="9" t="str">
        <x:v>None known</x:v>
      </x:c>
      <x:c r="AC483" s="9" t="str">
        <x:v>Full-screen animated video, compressed (verify resolution/frame rate)</x:v>
      </x:c>
      <x:c r="AD483" s="9" t="str">
        <x:v>Hard; three skill levels (verify)</x:v>
      </x:c>
      <x:c r="AE483" s="9" t="str">
        <x:v>One ending (defeat Borf)</x:v>
      </x:c>
      <x:c r="AF483" s="9" t="str">
        <x:v>Budget was $2.5 million; some scenes were rotoscoped from physical models.</x:v>
      </x:c>
      <x:c r="AG483" s="9" t="str">
        <x:v>NA and EU releases</x:v>
      </x:c>
      <x:c r="AH483" s="9" t="str">
        <x:v>Yes (Digital Leisure: Steam, Switch, iOS, Blu-ray)</x:v>
      </x:c>
      <x:c r="AI483" s="9" t="str">
        <x:v>Add-on required</x:v>
      </x:c>
      <x:c r="AJ483" s="9" t="str">
        <x:v>Original Jaguar + Jaguar CD, or BigPEmu (PC, Linux, Android, Xbox) runs Jaguar CD images well; modern Digital Leisure releases</x:v>
      </x:c>
      <x:c r="AK483" s="9" t="str">
        <x:v>Completeness of the Jaguar CD port not confirmed (verify).</x:v>
      </x:c>
      <x:c r="AL483" s="10" t="n">
        <x:v>15.53</x:v>
      </x:c>
      <x:c r="AM483" s="10" t="n">
        <x:v>84.98</x:v>
      </x:c>
      <x:c r="AN483" s="10" t="n">
        <x:v>34.99</x:v>
      </x:c>
      <x:c r="AO483" s="9" t="str">
        <x:v>2026-10-24</x:v>
      </x:c>
      <x:c r="AP483" s="11" t="str">
        <x:f>HYPERLINK("https://www.pricecharting.com/search-products?q=Space+Ace+jaguar+cd&amp;type=prices","PriceCharting")</x:f>
        <x:v>PriceCharting</x:v>
      </x:c>
      <x:c r="AQ483" s="9"/>
      <x:c r="AR483" s="9"/>
      <x:c r="AS483" s="9"/>
      <x:c r="AT483" s="9"/>
      <x:c r="AU483" s="9"/>
      <x:c r="AV483" s="9"/>
      <x:c r="AW483" s="9"/>
      <x:c r="AX483" s="9"/>
      <x:c r="AY483" s="9"/>
      <x:c r="AZ483" s="9" t="str">
        <x:v>4.4</x:v>
      </x:c>
      <x:c r="BA483" s="11" t="str">
        <x:f>HYPERLINK("https://www.mobygames.com/game/jaguar/space-ace","MobyGames")</x:f>
        <x:v>MobyGames</x:v>
      </x:c>
      <x:c r="BB483" s="9"/>
      <x:c r="BC483" s="9"/>
      <x:c r="BD483" s="9"/>
      <x:c r="BE483" s="11" t="str">
        <x:f>HYPERLINK("https://en.wikipedia.org/wiki/Space_Ace","Wikipedia")</x:f>
        <x:v>Wikipedia</x:v>
      </x:c>
      <x:c r="BF483" s="11" t="str">
        <x:f>HYPERLINK("https://backloggd.com/search/games/Space%20Ace/","Backloggd")</x:f>
        <x:v>Backloggd</x:v>
      </x:c>
      <x:c r="BG483" s="9"/>
      <x:c r="BH483" s="9"/>
      <x:c r="BI483" s="12" t="str">
        <x:v>No</x:v>
      </x:c>
      <x:c r="BJ483" s="12" t="str"/>
      <x:c r="BK483" s="12" t="str">
        <x:v>No</x:v>
      </x:c>
      <x:c r="BL483" s="12" t="str"/>
      <x:c r="BM483" s="12" t="str"/>
      <x:c r="BN483" s="12" t="str"/>
      <x:c r="BO483" s="12" t="str"/>
      <x:c r="BP483" s="12" t="str"/>
      <x:c r="BQ483" s="12" t="str"/>
    </x:row>
    <x:row r="484">
      <x:c r="A484" s="9" t="str">
        <x:v>jaguarcd-12</x:v>
      </x:c>
      <x:c r="B484" s="9" t="str">
        <x:v>vid-grid</x:v>
      </x:c>
      <x:c r="C484" s="9" t="str">
        <x:v>Atari Jaguar CD</x:v>
      </x:c>
      <x:c r="D484" s="9" t="str">
        <x:v>Vid Grid</x:v>
      </x:c>
      <x:c r="E484" s="9" t="str"/>
      <x:c r="F484" s="9" t="str">
        <x:v>Jasmine Multimedia / Geffen (original); High Voltage Software (Jaguar CD port)</x:v>
      </x:c>
      <x:c r="G484" s="9" t="str">
        <x:v>Atari Corporation (NA/EU)</x:v>
      </x:c>
      <x:c r="H484" s="9" t="n">
        <x:v>1995</x:v>
      </x:c>
      <x:c r="I484" s="9" t="str">
        <x:v>Yes</x:v>
      </x:c>
      <x:c r="J484" s="9" t="str">
        <x:v>No</x:v>
      </x:c>
      <x:c r="K484" s="9" t="str">
        <x:v>Yes</x:v>
      </x:c>
      <x:c r="L484" s="9" t="str">
        <x:v>No</x:v>
      </x:c>
      <x:c r="M484" s="9" t="str">
        <x:v>Music-video sliding puzzle</x:v>
      </x:c>
      <x:c r="N484" s="9" t="str">
        <x:v>Live-action</x:v>
      </x:c>
      <x:c r="O484" s="9" t="n">
        <x:v>10</x:v>
      </x:c>
      <x:c r="P484" s="9" t="str">
        <x:v>Game show / trivia</x:v>
      </x:c>
      <x:c r="Q484" s="9" t="str">
        <x:v>Released</x:v>
      </x:c>
      <x:c r="R484" s="9" t="str">
        <x:v>PC original (Jasmine Multimedia / Geffen, 1994)</x:v>
      </x:c>
      <x:c r="S484" s="9" t="str">
        <x:v>PC (Windows)</x:v>
      </x:c>
      <x:c r="T484" s="9" t="str">
        <x:v>Aerosmith, Peter Gabriel, Guns N' Roses, Jimi Hendrix, Metallica, Van Halen, Ozzy Osbourne, Red Hot Chili Peppers, Soundgarden, Nirvana (hidden)</x:v>
      </x:c>
      <x:c r="U484" s="9" t="n">
        <x:v>1</x:v>
      </x:c>
      <x:c r="V484" s="9" t="str">
        <x:v>No</x:v>
      </x:c>
      <x:c r="W484" s="9" t="str">
        <x:v>Jaguar CD</x:v>
      </x:c>
      <x:c r="X484" s="9" t="str">
        <x:v>HIGH</x:v>
      </x:c>
      <x:c r="Y484" s="9" t="str">
        <x:v>Nine licensed music videos (Cryin', Sledgehammer, November Rain, Enter Sandman, Give It Away, Spoonman…) plus hidden Smells Like Teen Spirit</x:v>
      </x:c>
      <x:c r="Z484" s="9" t="str">
        <x:v>1–2 hr</x:v>
      </x:c>
      <x:c r="AA484" s="9" t="str">
        <x:v>Unscramble Metallica and Guns N' Roses music videos while they play, then unlock Nirvana.</x:v>
      </x:c>
      <x:c r="AB484" s="9" t="str">
        <x:v>None known</x:v>
      </x:c>
      <x:c r="AC484" s="9" t="str">
        <x:v>Music videos tiled in a puzzle grid, about 320×240 source (verify Jaguar playback size/frame rate)</x:v>
      </x:c>
      <x:c r="AD484" s="9" t="str">
        <x:v>Easy to hard; tile count and rotation scale with difficulty</x:v>
      </x:c>
      <x:c r="AE484" s="9" t="str">
        <x:v>Hidden Nirvana video after solving all nine on the highest difficulty</x:v>
      </x:c>
      <x:c r="AF484" s="9" t="str">
        <x:v>At 630 MB it is the largest Jaguar CD game. Geffen's Norman Beil conceived it after a jigsaw session with his kids.</x:v>
      </x:c>
      <x:c r="AG484" s="9" t="str">
        <x:v>Jaguar CD pack-in and standalone copies</x:v>
      </x:c>
      <x:c r="AH484" s="9" t="str">
        <x:v>No</x:v>
      </x:c>
      <x:c r="AI484" s="9" t="str">
        <x:v>Add-on required</x:v>
      </x:c>
      <x:c r="AJ484" s="9" t="str">
        <x:v>Original Jaguar + Jaguar CD (cheap pack-in), or BigPEmu (PC, Linux, Android, Xbox) runs Jaguar CD images well</x:v>
      </x:c>
      <x:c r="AK484" s="9" t="str">
        <x:v>Footage is almost entirely licensed music videos, so expect claims on any video.</x:v>
      </x:c>
      <x:c r="AL484" s="10" t="n">
        <x:v>10.63</x:v>
      </x:c>
      <x:c r="AM484" s="10" t="n">
        <x:v>12.13</x:v>
      </x:c>
      <x:c r="AN484" s="10" t="n">
        <x:v>19.49</x:v>
      </x:c>
      <x:c r="AO484" s="9" t="str">
        <x:v>2026-10-24</x:v>
      </x:c>
      <x:c r="AP484" s="11" t="str">
        <x:f>HYPERLINK("https://www.pricecharting.com/search-products?q=Vid+Grid+jaguar+cd&amp;type=prices","PriceCharting")</x:f>
        <x:v>PriceCharting</x:v>
      </x:c>
      <x:c r="AQ484" s="9"/>
      <x:c r="AR484" s="9"/>
      <x:c r="AS484" s="9"/>
      <x:c r="AT484" s="9"/>
      <x:c r="AU484" s="9"/>
      <x:c r="AV484" s="9"/>
      <x:c r="AW484" s="9"/>
      <x:c r="AX484" s="9"/>
      <x:c r="AY484" s="9" t="str">
        <x:v>73%</x:v>
      </x:c>
      <x:c r="AZ484" s="9" t="str">
        <x:v>3.5</x:v>
      </x:c>
      <x:c r="BA484" s="11" t="str">
        <x:f>HYPERLINK("https://www.mobygames.com/game/jaguar/vid-grid","MobyGames")</x:f>
        <x:v>MobyGames</x:v>
      </x:c>
      <x:c r="BB484" s="9"/>
      <x:c r="BC484" s="9"/>
      <x:c r="BD484" s="9"/>
      <x:c r="BE484" s="11" t="str">
        <x:f>HYPERLINK("https://en.wikipedia.org/wiki/Vid_Grid","Wikipedia")</x:f>
        <x:v>Wikipedia</x:v>
      </x:c>
      <x:c r="BF484" s="11" t="str">
        <x:f>HYPERLINK("https://backloggd.com/search/games/Vid%20Grid/","Backloggd")</x:f>
        <x:v>Backloggd</x:v>
      </x:c>
      <x:c r="BG484" s="9"/>
      <x:c r="BH484" s="9"/>
      <x:c r="BI484" s="12" t="str">
        <x:v>No</x:v>
      </x:c>
      <x:c r="BJ484" s="12" t="str"/>
      <x:c r="BK484" s="12" t="str">
        <x:v>No</x:v>
      </x:c>
      <x:c r="BL484" s="12" t="str"/>
      <x:c r="BM484" s="12" t="str"/>
      <x:c r="BN484" s="12" t="str"/>
      <x:c r="BO484" s="12" t="str"/>
      <x:c r="BP484" s="12" t="str"/>
      <x:c r="BQ484" s="12" t="str"/>
    </x:row>
    <x:row r="485">
      <x:c r="A485" s="9" t="str">
        <x:v>jaguarcd-13</x:v>
      </x:c>
      <x:c r="B485" s="9" t="str">
        <x:v>world-tour-racing</x:v>
      </x:c>
      <x:c r="C485" s="9" t="str">
        <x:v>Atari Jaguar CD</x:v>
      </x:c>
      <x:c r="D485" s="9" t="str">
        <x:v>World Tour Racing</x:v>
      </x:c>
      <x:c r="E485" s="9" t="str">
        <x:v>F1 Racer (working title)</x:v>
      </x:c>
      <x:c r="F485" s="9" t="str">
        <x:v>Teque London</x:v>
      </x:c>
      <x:c r="G485" s="9" t="str">
        <x:v>Telegames (NA/EU), sub-licensed from Atari</x:v>
      </x:c>
      <x:c r="H485" s="9" t="n">
        <x:v>1997</x:v>
      </x:c>
      <x:c r="I485" s="9" t="str">
        <x:v>Yes</x:v>
      </x:c>
      <x:c r="J485" s="9" t="str">
        <x:v>No</x:v>
      </x:c>
      <x:c r="K485" s="9" t="str">
        <x:v>Yes</x:v>
      </x:c>
      <x:c r="L485" s="9" t="str">
        <x:v>No</x:v>
      </x:c>
      <x:c r="M485" s="9" t="str">
        <x:v>Formula One racing</x:v>
      </x:c>
      <x:c r="N485" s="9" t="str">
        <x:v>Pre-rendered CG</x:v>
      </x:c>
      <x:c r="O485" s="9" t="n">
        <x:v>2</x:v>
      </x:c>
      <x:c r="P485" s="9" t="str">
        <x:v>Cutscenes only</x:v>
      </x:c>
      <x:c r="Q485" s="9" t="str">
        <x:v>Released</x:v>
      </x:c>
      <x:c r="R485" s="9" t="str">
        <x:v>Original production</x:v>
      </x:c>
      <x:c r="S485" s="9" t="str">
        <x:v>PC version planned, never released</x:v>
      </x:c>
      <x:c r="T485" s="9" t="str">
        <x:v>—</x:v>
      </x:c>
      <x:c r="U485" s="9" t="n">
        <x:v>1</x:v>
      </x:c>
      <x:c r="V485" s="9" t="str">
        <x:v>No (passwords)</x:v>
      </x:c>
      <x:c r="W485" s="9" t="str">
        <x:v>Jaguar CD; ProController supported</x:v>
      </x:c>
      <x:c r="X485" s="9" t="str">
        <x:v>Low</x:v>
      </x:c>
      <x:c r="Y485" s="9" t="str"/>
      <x:c r="Z485" s="9" t="str">
        <x:v>2–4 hr</x:v>
      </x:c>
      <x:c r="AA485" s="9" t="str">
        <x:v>A polygon F1 racer finished in 1996 but orphaned by Atari's exit until Telegames shipped it.</x:v>
      </x:c>
      <x:c r="AB485" s="9" t="str">
        <x:v>None known</x:v>
      </x:c>
      <x:c r="AC485" s="9" t="str">
        <x:v>FMV cutscenes praised by Jaguar Explorer Online (content and window size not confirmed — verify)</x:v>
      </x:c>
      <x:c r="AD485" s="9" t="str">
        <x:v>Moderate</x:v>
      </x:c>
      <x:c r="AE485" s="9" t="str">
        <x:v>Championship ending</x:v>
      </x:c>
      <x:c r="AF485" s="9" t="str">
        <x:v>It was pitched as "Virtua Racing on the Atari Jaguar". Twelve of its 16 tracks are based on real F1 circuits.</x:v>
      </x:c>
      <x:c r="AG485" s="9" t="str">
        <x:v>Single NA/EU release; distributed in France by La Terre du Milieu</x:v>
      </x:c>
      <x:c r="AH485" s="9" t="str">
        <x:v>No</x:v>
      </x:c>
      <x:c r="AI485" s="9" t="str">
        <x:v>Add-on required</x:v>
      </x:c>
      <x:c r="AJ485" s="9" t="str">
        <x:v>Original Jaguar + Jaguar CD, or BigPEmu (PC, Linux, Android, Xbox) runs Jaguar CD images well</x:v>
      </x:c>
      <x:c r="AK485" s="9" t="str">
        <x:v>Released by Telegames after Atari left the market (June 1997); counted among the 13 official retail Jaguar CD games, so status kept as Released.</x:v>
      </x:c>
      <x:c r="AL485" s="10" t="n">
        <x:v>43.74</x:v>
      </x:c>
      <x:c r="AM485" s="10" t="n">
        <x:v>145</x:v>
      </x:c>
      <x:c r="AN485" s="10" t="n">
        <x:v>290</x:v>
      </x:c>
      <x:c r="AO485" s="9" t="str">
        <x:v>2026-10-24</x:v>
      </x:c>
      <x:c r="AP485" s="11" t="str">
        <x:f>HYPERLINK("https://www.pricecharting.com/search-products?q=World+Tour+Racing+jaguar+cd&amp;type=prices","PriceCharting")</x:f>
        <x:v>PriceCharting</x:v>
      </x:c>
      <x:c r="AQ485" s="9"/>
      <x:c r="AR485" s="9"/>
      <x:c r="AS485" s="9"/>
      <x:c r="AT485" s="9"/>
      <x:c r="AU485" s="9"/>
      <x:c r="AV485" s="9"/>
      <x:c r="AW485" s="9"/>
      <x:c r="AX485" s="9"/>
      <x:c r="AY485" s="9"/>
      <x:c r="AZ485" s="9"/>
      <x:c r="BA485" s="11" t="str">
        <x:f>HYPERLINK("https://www.mobygames.com/search/?q=World+Tour+Racing","MobyGames")</x:f>
        <x:v>MobyGames</x:v>
      </x:c>
      <x:c r="BB485" s="9" t="str">
        <x:v>64%</x:v>
      </x:c>
      <x:c r="BC485" s="9" t="str">
        <x:v>average of 4 reviews on Wikipedia (Atari Gaming Headquarters, The Atari Times, Jaguar Explorer Online, ST-Computer)</x:v>
      </x:c>
      <x:c r="BD485" s="9" t="str">
        <x:f>HYPERLINK("https://en.wikipedia.org/wiki/World_Tour_Racing","Source")</x:f>
        <x:v>Source</x:v>
      </x:c>
      <x:c r="BE485" s="11" t="str">
        <x:f>HYPERLINK("https://en.wikipedia.org/wiki/World_Tour_Racing","Wikipedia")</x:f>
        <x:v>Wikipedia</x:v>
      </x:c>
      <x:c r="BF485" s="11" t="str">
        <x:f>HYPERLINK("https://backloggd.com/search/games/World%20Tour%20Racing/","Backloggd")</x:f>
        <x:v>Backloggd</x:v>
      </x:c>
      <x:c r="BG485" s="9"/>
      <x:c r="BH485" s="9"/>
      <x:c r="BI485" s="12" t="str">
        <x:v>No</x:v>
      </x:c>
      <x:c r="BJ485" s="12" t="str"/>
      <x:c r="BK485" s="12" t="str">
        <x:v>No</x:v>
      </x:c>
      <x:c r="BL485" s="12" t="str"/>
      <x:c r="BM485" s="12" t="str"/>
      <x:c r="BN485" s="12" t="str"/>
      <x:c r="BO485" s="12" t="str"/>
      <x:c r="BP485" s="12" t="str"/>
      <x:c r="BQ485" s="12" t="str"/>
    </x:row>
    <x:row r="486">
      <x:c r="A486" s="9" t="str">
        <x:v>jaguarcd-14</x:v>
      </x:c>
      <x:c r="B486" s="9" t="str">
        <x:v>robinsons-requiem</x:v>
      </x:c>
      <x:c r="C486" s="9" t="str">
        <x:v>Atari Jaguar CD</x:v>
      </x:c>
      <x:c r="D486" s="9" t="str">
        <x:v>Robinson's Requiem</x:v>
      </x:c>
      <x:c r="E486" s="9" t="str"/>
      <x:c r="F486" s="9" t="str">
        <x:v>Silmarils (Jaguar CD port by Cyril Cogordan)</x:v>
      </x:c>
      <x:c r="G486" s="9" t="str">
        <x:v>Songbird Productions (2011); originally planned by Atari Corporation</x:v>
      </x:c>
      <x:c r="H486" s="9" t="n">
        <x:v>2011</x:v>
      </x:c>
      <x:c r="I486" s="9" t="str">
        <x:v>Yes</x:v>
      </x:c>
      <x:c r="J486" s="9" t="str">
        <x:v>No</x:v>
      </x:c>
      <x:c r="K486" s="9" t="str">
        <x:v>Yes</x:v>
      </x:c>
      <x:c r="L486" s="9" t="str">
        <x:v>No</x:v>
      </x:c>
      <x:c r="M486" s="9" t="str">
        <x:v>First-person survival adventure</x:v>
      </x:c>
      <x:c r="N486" s="9" t="str">
        <x:v>Pre-rendered CG</x:v>
      </x:c>
      <x:c r="O486" s="9" t="n">
        <x:v>2</x:v>
      </x:c>
      <x:c r="P486" s="9" t="str">
        <x:v>Post-cancellation release</x:v>
      </x:c>
      <x:c r="Q486" s="9" t="str">
        <x:v>Released post-cancellation</x:v>
      </x:c>
      <x:c r="R486" s="9" t="str">
        <x:v>Atari Falcon / PC original (Silmarils, 1994)</x:v>
      </x:c>
      <x:c r="S486" s="9" t="str">
        <x:v>Atari ST, Falcon, Amiga, PC, Mac, 3DO (NA 1996)</x:v>
      </x:c>
      <x:c r="T486" s="9" t="str">
        <x:v>—</x:v>
      </x:c>
      <x:c r="U486" s="9" t="n">
        <x:v>1</x:v>
      </x:c>
      <x:c r="V486" s="9" t="str">
        <x:v>Unknown — verify</x:v>
      </x:c>
      <x:c r="W486" s="9" t="str">
        <x:v>Jaguar CD add-on (required for all records). Memory Track cartridge for saves where noted.</x:v>
      </x:c>
      <x:c r="X486" s="9" t="str">
        <x:v>Low</x:v>
      </x:c>
      <x:c r="Y486" s="9" t="str"/>
      <x:c r="Z486" s="9" t="str">
        <x:v>10+ hr</x:v>
      </x:c>
      <x:c r="AA486" s="9" t="str">
        <x:v>A brutal Silmarils survival sim that Atari never shipped, finally released on the Jaguar CD in 2011.</x:v>
      </x:c>
      <x:c r="AB486" s="9" t="str">
        <x:v>None known</x:v>
      </x:c>
      <x:c r="AC486" s="9" t="str">
        <x:v>Same FMV cutscenes as the 3DO and Falcon CD versions (verify window size)</x:v>
      </x:c>
      <x:c r="AD486" s="9" t="str">
        <x:v>Very hard; harsh survival systems</x:v>
      </x:c>
      <x:c r="AE486" s="9" t="str">
        <x:v>Single ending (verify)</x:v>
      </x:c>
      <x:c r="AF486" s="9" t="str">
        <x:v>The Jaguar couldn't do the voxel landscapes, so the port uses texture-mapped polygons. Silmarils also planned Deus and Ishar 4 for the Jaguar CD.</x:v>
      </x:c>
      <x:c r="AG486" s="9" t="str">
        <x:v>Songbird Productions 2011 limited release</x:v>
      </x:c>
      <x:c r="AH486" s="9" t="str">
        <x:v>No</x:v>
      </x:c>
      <x:c r="AI486" s="9" t="str">
        <x:v>Add-on required</x:v>
      </x:c>
      <x:c r="AJ486" s="9" t="str">
        <x:v>Songbird disc on Jaguar + Jaguar CD, or BigPEmu (PC, Linux, Android, Xbox) runs Jaguar CD images well</x:v>
      </x:c>
      <x:c r="AK486" s="9" t="str">
        <x:v>Published by Songbird Productions on 30 May 2011, worldwide, not by Telegames. Originally slated for 1995 by Atari.</x:v>
      </x:c>
      <x:c r="AL486" s="10" t="n">
        <x:v>29</x:v>
      </x:c>
      <x:c r="AM486" s="10" t="n">
        <x:v>45.65</x:v>
      </x:c>
      <x:c r="AN486" s="10" t="n">
        <x:v>55</x:v>
      </x:c>
      <x:c r="AO486" s="9" t="str">
        <x:v>2026-10-24</x:v>
      </x:c>
      <x:c r="AP486" s="11" t="str">
        <x:f>HYPERLINK("https://www.pricecharting.com/search-products?q=Robinson%27s+Requiem+jaguar+cd&amp;type=prices","PriceCharting")</x:f>
        <x:v>PriceCharting</x:v>
      </x:c>
      <x:c r="AQ486" s="9"/>
      <x:c r="AR486" s="9"/>
      <x:c r="AS486" s="9"/>
      <x:c r="AT486" s="9"/>
      <x:c r="AU486" s="9"/>
      <x:c r="AV486" s="9"/>
      <x:c r="AW486" s="9"/>
      <x:c r="AX486" s="9"/>
      <x:c r="AY486" s="9"/>
      <x:c r="AZ486" s="9" t="str">
        <x:v>3.8</x:v>
      </x:c>
      <x:c r="BA486" s="11" t="str">
        <x:f>HYPERLINK("https://www.mobygames.com/game/jaguar/robinsons-requiem","MobyGames")</x:f>
        <x:v>MobyGames</x:v>
      </x:c>
      <x:c r="BB486" s="9"/>
      <x:c r="BC486" s="9"/>
      <x:c r="BD486" s="9"/>
      <x:c r="BE486" s="11" t="str">
        <x:f>HYPERLINK("https://en.wikipedia.org/wiki/Robinson%27s_Requiem","Wikipedia")</x:f>
        <x:v>Wikipedia</x:v>
      </x:c>
      <x:c r="BF486" s="11" t="str">
        <x:f>HYPERLINK("https://backloggd.com/search/games/Robinson%27s%20Requiem/","Backloggd")</x:f>
        <x:v>Backloggd</x:v>
      </x:c>
      <x:c r="BG486" s="9"/>
      <x:c r="BH486" s="9"/>
      <x:c r="BI486" s="12" t="str">
        <x:v>No</x:v>
      </x:c>
      <x:c r="BJ486" s="12" t="str"/>
      <x:c r="BK486" s="12" t="str">
        <x:v>No</x:v>
      </x:c>
      <x:c r="BL486" s="12" t="str"/>
      <x:c r="BM486" s="12" t="str"/>
      <x:c r="BN486" s="12" t="str"/>
      <x:c r="BO486" s="12" t="str"/>
      <x:c r="BP486" s="12" t="str"/>
      <x:c r="BQ486" s="12" t="str"/>
    </x:row>
    <x:row r="487">
      <x:c r="A487" s="9" t="str">
        <x:v>jaguarcd-15</x:v>
      </x:c>
      <x:c r="B487" s="9" t="str">
        <x:v>varunas-forces</x:v>
      </x:c>
      <x:c r="C487" s="9" t="str">
        <x:v>Atari Jaguar CD</x:v>
      </x:c>
      <x:c r="D487" s="9" t="str">
        <x:v>Varuna's Forces</x:v>
      </x:c>
      <x:c r="E487" s="9" t="str"/>
      <x:c r="F487" s="9" t="str">
        <x:v>Accent Media Productions</x:v>
      </x:c>
      <x:c r="G487" s="9" t="str">
        <x:v>Atari Corporation (planned); B&amp;C Computervisions sold non-playable builds (2009)</x:v>
      </x:c>
      <x:c r="H487" s="9" t="n">
        <x:v>2009</x:v>
      </x:c>
      <x:c r="I487" s="9" t="str">
        <x:v>Yes</x:v>
      </x:c>
      <x:c r="J487" s="9" t="str">
        <x:v>No</x:v>
      </x:c>
      <x:c r="K487" s="9" t="str">
        <x:v>Yes</x:v>
      </x:c>
      <x:c r="L487" s="9" t="str">
        <x:v>No</x:v>
      </x:c>
      <x:c r="M487" s="9" t="str">
        <x:v>Squad tactics / rail shooter</x:v>
      </x:c>
      <x:c r="N487" s="9" t="str">
        <x:v>Live-action + CG</x:v>
      </x:c>
      <x:c r="O487" s="9" t="n">
        <x:v>4</x:v>
      </x:c>
      <x:c r="P487" s="9" t="str">
        <x:v>Prototype</x:v>
      </x:c>
      <x:c r="Q487" s="9" t="str">
        <x:v>Prototype dumped</x:v>
      </x:c>
      <x:c r="R487" s="9" t="str">
        <x:v>Original production</x:v>
      </x:c>
      <x:c r="S487" s="9" t="str">
        <x:v>Planned for 3DO, PC, PlayStation, Saturn, Dreamcast — none released</x:v>
      </x:c>
      <x:c r="T487" s="9" t="str">
        <x:v>Michael Clarke Duncan (Carl Tomas)</x:v>
      </x:c>
      <x:c r="U487" s="9" t="n">
        <x:v>1</x:v>
      </x:c>
      <x:c r="V487" s="9" t="str">
        <x:v>Unknown — verify</x:v>
      </x:c>
      <x:c r="W487" s="9" t="str">
        <x:v>Jaguar CD add-on (required for all records). Memory Track cartridge for saves where noted.</x:v>
      </x:c>
      <x:c r="X487" s="9" t="str">
        <x:v>Low</x:v>
      </x:c>
      <x:c r="Y487" s="9" t="str"/>
      <x:c r="Z487" s="9" t="str">
        <x:v>Unknown — verify</x:v>
      </x:c>
      <x:c r="AA487" s="9" t="str">
        <x:v>An unreleased Jaguar CD shooter with an early Michael Clarke Duncan role in its live-action briefings.</x:v>
      </x:c>
      <x:c r="AB487" s="9" t="str">
        <x:v>None known</x:v>
      </x:c>
      <x:c r="AC487" s="9" t="str">
        <x:v>Green-screen live-action briefings over pre-rendered fractal terrain (verify on the demo build)</x:v>
      </x:c>
      <x:c r="AD487" s="9" t="str">
        <x:v>Unknown — verify</x:v>
      </x:c>
      <x:c r="AE487" s="9" t="str">
        <x:v>Unknown — verify</x:v>
      </x:c>
      <x:c r="AF487" s="9" t="str">
        <x:v>Shown at Winter CES and E3 1995 and planned for Q4 1995. About 30 actors were cast, including a then-unknown Michael Clarke Duncan.</x:v>
      </x:c>
      <x:c r="AG487" s="9" t="str">
        <x:v>2009 B&amp;C Computervisions demo discs</x:v>
      </x:c>
      <x:c r="AH487" s="9" t="str">
        <x:v>No</x:v>
      </x:c>
      <x:c r="AI487" s="9" t="str">
        <x:v>Emulation only</x:v>
      </x:c>
      <x:c r="AJ487" s="9" t="str">
        <x:v>2009 demo disc on Jaguar CD or in BigPEmu; non-playable build</x:v>
      </x:c>
      <x:c r="AK487" s="9" t="str">
        <x:v>Not a finished release: the 2009 discs are non-playable builds/demo, so it is filed as a prototype rather than a post-cancellation release. PriceCharting lists a disc (CIB about $25). fmv 4 is an estimate (verify).</x:v>
      </x:c>
      <x:c r="AL487" s="10"/>
      <x:c r="AM487" s="10" t="n">
        <x:v>25</x:v>
      </x:c>
      <x:c r="AN487" s="10" t="n">
        <x:v>50</x:v>
      </x:c>
      <x:c r="AO487" s="9" t="str">
        <x:v>2026-10-24</x:v>
      </x:c>
      <x:c r="AP487" s="11" t="str">
        <x:f>HYPERLINK("https://www.pricecharting.com/search-products?q=Varuna%27s+Forces+jaguar+cd&amp;type=prices","PriceCharting")</x:f>
        <x:v>PriceCharting</x:v>
      </x:c>
      <x:c r="AQ487" s="9"/>
      <x:c r="AR487" s="9"/>
      <x:c r="AS487" s="9"/>
      <x:c r="AT487" s="9"/>
      <x:c r="AU487" s="9"/>
      <x:c r="AV487" s="9"/>
      <x:c r="AW487" s="9"/>
      <x:c r="AX487" s="9"/>
      <x:c r="AY487" s="9"/>
      <x:c r="AZ487" s="9"/>
      <x:c r="BA487" s="11" t="str">
        <x:f>HYPERLINK("https://www.mobygames.com/search/?q=Varuna%27s+Forces","MobyGames")</x:f>
        <x:v>MobyGames</x:v>
      </x:c>
      <x:c r="BB487" s="9"/>
      <x:c r="BC487" s="9"/>
      <x:c r="BD487" s="9"/>
      <x:c r="BE487" s="11" t="str">
        <x:f>HYPERLINK("https://en.wikipedia.org/wiki/Varuna%27s_Forces","Wikipedia")</x:f>
        <x:v>Wikipedia</x:v>
      </x:c>
      <x:c r="BF487" s="11" t="str">
        <x:f>HYPERLINK("https://backloggd.com/search/games/Varuna%27s%20Forces/","Backloggd")</x:f>
        <x:v>Backloggd</x:v>
      </x:c>
      <x:c r="BG487" s="9"/>
      <x:c r="BH487" s="9"/>
      <x:c r="BI487" s="12" t="str">
        <x:v>No</x:v>
      </x:c>
      <x:c r="BJ487" s="12" t="str"/>
      <x:c r="BK487" s="12" t="str">
        <x:v>No</x:v>
      </x:c>
      <x:c r="BL487" s="12" t="str"/>
      <x:c r="BM487" s="12" t="str"/>
      <x:c r="BN487" s="12" t="str"/>
      <x:c r="BO487" s="12" t="str"/>
      <x:c r="BP487" s="12" t="str"/>
      <x:c r="BQ487" s="12" t="str"/>
    </x:row>
    <x:row r="488">
      <x:c r="A488" s="9" t="str">
        <x:v>jaguarcd-16</x:v>
      </x:c>
      <x:c r="B488" s="9" t="str">
        <x:v>soulstar</x:v>
      </x:c>
      <x:c r="C488" s="9" t="str">
        <x:v>Atari Jaguar CD</x:v>
      </x:c>
      <x:c r="D488" s="9" t="str">
        <x:v>Soulstar</x:v>
      </x:c>
      <x:c r="E488" s="9" t="str"/>
      <x:c r="F488" s="9" t="str">
        <x:v>Core Design</x:v>
      </x:c>
      <x:c r="G488" s="9" t="str">
        <x:v>Unreleased (planned by Atari Corporation for Jaguar CD)</x:v>
      </x:c>
      <x:c r="H488" s="9" t="n">
        <x:v>1995</x:v>
      </x:c>
      <x:c r="I488" s="9" t="str">
        <x:v>Yes</x:v>
      </x:c>
      <x:c r="J488" s="9" t="str">
        <x:v>No</x:v>
      </x:c>
      <x:c r="K488" s="9" t="str">
        <x:v>Yes</x:v>
      </x:c>
      <x:c r="L488" s="9" t="str">
        <x:v>No</x:v>
      </x:c>
      <x:c r="M488" s="9" t="str">
        <x:v>3D rail/free-roam shooter</x:v>
      </x:c>
      <x:c r="N488" s="9" t="str">
        <x:v>Pre-rendered CG</x:v>
      </x:c>
      <x:c r="O488" s="9" t="n">
        <x:v>3</x:v>
      </x:c>
      <x:c r="P488" s="9" t="str">
        <x:v>Prototype</x:v>
      </x:c>
      <x:c r="Q488" s="9" t="str">
        <x:v>Prototype dumped</x:v>
      </x:c>
      <x:c r="R488" s="9" t="str">
        <x:v>Sega CD original (Core Design, 1994)</x:v>
      </x:c>
      <x:c r="S488" s="9" t="str">
        <x:v>Sega CD (1994); 32X Soulstar X cancelled (prototype leaked 2010)</x:v>
      </x:c>
      <x:c r="T488" s="9" t="str">
        <x:v>—</x:v>
      </x:c>
      <x:c r="U488" s="9" t="n">
        <x:v>1</x:v>
      </x:c>
      <x:c r="V488" s="9" t="str">
        <x:v>Unknown — verify</x:v>
      </x:c>
      <x:c r="W488" s="9" t="str">
        <x:v>Jaguar CD add-on (required for all records). Memory Track cartridge for saves where noted.</x:v>
      </x:c>
      <x:c r="X488" s="9" t="str">
        <x:v>Low</x:v>
      </x:c>
      <x:c r="Y488" s="9" t="str"/>
      <x:c r="Z488" s="9" t="str">
        <x:v>1–2 hr</x:v>
      </x:c>
      <x:c r="AA488" s="9" t="str">
        <x:v>Core's Sega CD shooter, nearly finished on Jaguar CD, survives only as a buggy leaked build.</x:v>
      </x:c>
      <x:c r="AB488" s="9" t="str">
        <x:v>None known</x:v>
      </x:c>
      <x:c r="AC488" s="9" t="str">
        <x:v>Planned redone FMV sequences from the Sega CD version (verify in leaked build)</x:v>
      </x:c>
      <x:c r="AD488" s="9" t="str">
        <x:v>Moderate</x:v>
      </x:c>
      <x:c r="AE488" s="9" t="str">
        <x:v>Unknown — verify</x:v>
      </x:c>
      <x:c r="AF488" s="9" t="str">
        <x:v>Shown at Spring ECTS and E3 1995. A former Core coder said it was nearly done but hit trouble with the Jaguar's multi-chip design.</x:v>
      </x:c>
      <x:c r="AG488" s="9" t="str">
        <x:v>Leaked ISO; bootleg copies (one sold on eBay in 2004)</x:v>
      </x:c>
      <x:c r="AH488" s="9" t="str">
        <x:v>No</x:v>
      </x:c>
      <x:c r="AI488" s="9" t="str">
        <x:v>Emulation only</x:v>
      </x:c>
      <x:c r="AJ488" s="9" t="str">
        <x:v>Leaked ISO in BigPEmu (unstable); Sega CD original is the complete game</x:v>
      </x:c>
      <x:c r="AK488" s="9" t="str">
        <x:v>Leaked playable build is very prone to crashes. A nearly complete build has been shown on YouTube by collector Matt Smith.</x:v>
      </x:c>
      <x:c r="AL488" s="10"/>
      <x:c r="AM488" s="10"/>
      <x:c r="AN488" s="10"/>
      <x:c r="AO488" s="9"/>
      <x:c r="AP488" s="11" t="str">
        <x:f>HYPERLINK("https://www.pricecharting.com/search-products?q=Soulstar+jaguar+cd&amp;type=prices","PriceCharting")</x:f>
        <x:v>PriceCharting</x:v>
      </x:c>
      <x:c r="AQ488" s="9"/>
      <x:c r="AR488" s="9"/>
      <x:c r="AS488" s="9"/>
      <x:c r="AT488" s="9"/>
      <x:c r="AU488" s="9"/>
      <x:c r="AV488" s="9"/>
      <x:c r="AW488" s="9"/>
      <x:c r="AX488" s="9"/>
      <x:c r="AY488" s="9"/>
      <x:c r="AZ488" s="9"/>
      <x:c r="BA488" s="11" t="str">
        <x:f>HYPERLINK("https://www.mobygames.com/search/?q=Soulstar","MobyGames")</x:f>
        <x:v>MobyGames</x:v>
      </x:c>
      <x:c r="BB488" s="9"/>
      <x:c r="BC488" s="9"/>
      <x:c r="BD488" s="9"/>
      <x:c r="BE488" s="11" t="str">
        <x:f>HYPERLINK("https://en.wikipedia.org/wiki/Soulstar","Wikipedia")</x:f>
        <x:v>Wikipedia</x:v>
      </x:c>
      <x:c r="BF488" s="11" t="str">
        <x:f>HYPERLINK("https://backloggd.com/search/games/Soulstar/","Backloggd")</x:f>
        <x:v>Backloggd</x:v>
      </x:c>
      <x:c r="BG488" s="9"/>
      <x:c r="BH488" s="9"/>
      <x:c r="BI488" s="12" t="str">
        <x:v>No</x:v>
      </x:c>
      <x:c r="BJ488" s="12" t="str"/>
      <x:c r="BK488" s="12" t="str">
        <x:v>No</x:v>
      </x:c>
      <x:c r="BL488" s="12" t="str"/>
      <x:c r="BM488" s="12" t="str"/>
      <x:c r="BN488" s="12" t="str"/>
      <x:c r="BO488" s="12" t="str"/>
      <x:c r="BP488" s="12" t="str"/>
      <x:c r="BQ488" s="12" t="str"/>
    </x:row>
    <x:row r="489">
      <x:c r="A489" s="9" t="str">
        <x:v>jaguarcd-17</x:v>
      </x:c>
      <x:c r="B489" s="9" t="str">
        <x:v>creature-shock</x:v>
      </x:c>
      <x:c r="C489" s="9" t="str">
        <x:v>Atari Jaguar CD</x:v>
      </x:c>
      <x:c r="D489" s="9" t="str">
        <x:v>Creature Shock</x:v>
      </x:c>
      <x:c r="E489" s="9" t="str"/>
      <x:c r="F489" s="9" t="str">
        <x:v>Argonaut Software</x:v>
      </x:c>
      <x:c r="G489" s="9" t="str">
        <x:v>Unreleased (planned by Atari Corporation / Virgin Interactive)</x:v>
      </x:c>
      <x:c r="H489" s="9" t="n">
        <x:v>1995</x:v>
      </x:c>
      <x:c r="I489" s="9" t="str">
        <x:v>Yes</x:v>
      </x:c>
      <x:c r="J489" s="9" t="str">
        <x:v>No</x:v>
      </x:c>
      <x:c r="K489" s="9" t="str">
        <x:v>Yes</x:v>
      </x:c>
      <x:c r="L489" s="9" t="str">
        <x:v>No</x:v>
      </x:c>
      <x:c r="M489" s="9" t="str">
        <x:v>Rail shooter / FPS</x:v>
      </x:c>
      <x:c r="N489" s="9" t="str">
        <x:v>Pre-rendered CG</x:v>
      </x:c>
      <x:c r="O489" s="9" t="n">
        <x:v>8</x:v>
      </x:c>
      <x:c r="P489" s="9" t="str">
        <x:v>Prototype</x:v>
      </x:c>
      <x:c r="Q489" s="9" t="str">
        <x:v>NOT obtainable</x:v>
      </x:c>
      <x:c r="R489" s="9" t="str">
        <x:v>PC / 3DO original (Argonaut / Virgin, 1994)</x:v>
      </x:c>
      <x:c r="S489" s="9" t="str">
        <x:v>PC, 3DO, CD-i, Saturn, PlayStation</x:v>
      </x:c>
      <x:c r="T489" s="9" t="str">
        <x:v>—</x:v>
      </x:c>
      <x:c r="U489" s="9" t="n">
        <x:v>1</x:v>
      </x:c>
      <x:c r="V489" s="9" t="str">
        <x:v>Unknown — verify</x:v>
      </x:c>
      <x:c r="W489" s="9" t="str">
        <x:v>Jaguar CD add-on (required for all records). Memory Track cartridge for saves where noted.</x:v>
      </x:c>
      <x:c r="X489" s="9" t="str">
        <x:v>Low</x:v>
      </x:c>
      <x:c r="Y489" s="9" t="str"/>
      <x:c r="Z489" s="9" t="str">
        <x:v>2–4 hr</x:v>
      </x:c>
      <x:c r="AA489" s="9" t="str">
        <x:v>Argonaut's CG-movie shooter was meant for Jaguar CD, but only a video demo was ever shown.</x:v>
      </x:c>
      <x:c r="AB489" s="9" t="str">
        <x:v>None known</x:v>
      </x:c>
      <x:c r="AC489" s="9" t="str">
        <x:v>Only a video demo shown at Autumn ECTS '95; no build known</x:v>
      </x:c>
      <x:c r="AD489" s="9" t="str">
        <x:v>—</x:v>
      </x:c>
      <x:c r="AE489" s="9" t="str">
        <x:v>—</x:v>
      </x:c>
      <x:c r="AF489" s="9" t="str">
        <x:v>Announced in 1994 as an early Jaguar CD title and shown at E3 1995; cancelled after the ECTS demo got a poor reception.</x:v>
      </x:c>
      <x:c r="AG489" s="9" t="str">
        <x:v>None</x:v>
      </x:c>
      <x:c r="AH489" s="9" t="str">
        <x:v>No</x:v>
      </x:c>
      <x:c r="AI489" s="9" t="str">
        <x:v>Lost</x:v>
      </x:c>
      <x:c r="AJ489" s="9" t="str">
        <x:v>Not playable on Jaguar CD; other versions exist</x:v>
      </x:c>
      <x:c r="AK489" s="9" t="str">
        <x:v>No playable or dumped build known. Play the 3DO, PC, Saturn or PlayStation versions instead.</x:v>
      </x:c>
      <x:c r="AL489" s="10"/>
      <x:c r="AM489" s="10"/>
      <x:c r="AN489" s="10"/>
      <x:c r="AO489" s="9"/>
      <x:c r="AP489" s="11" t="str">
        <x:f>HYPERLINK("https://www.pricecharting.com/search-products?q=Creature+Shock+jaguar+cd&amp;type=prices","PriceCharting")</x:f>
        <x:v>PriceCharting</x:v>
      </x:c>
      <x:c r="AQ489" s="9"/>
      <x:c r="AR489" s="9"/>
      <x:c r="AS489" s="9"/>
      <x:c r="AT489" s="9"/>
      <x:c r="AU489" s="9"/>
      <x:c r="AV489" s="9"/>
      <x:c r="AW489" s="9"/>
      <x:c r="AX489" s="9"/>
      <x:c r="AY489" s="9"/>
      <x:c r="AZ489" s="9"/>
      <x:c r="BA489" s="11" t="str">
        <x:f>HYPERLINK("https://www.mobygames.com/search/?q=Creature+Shock","MobyGames")</x:f>
        <x:v>MobyGames</x:v>
      </x:c>
      <x:c r="BB489" s="9"/>
      <x:c r="BC489" s="9"/>
      <x:c r="BD489" s="9"/>
      <x:c r="BE489" s="11" t="str">
        <x:f>HYPERLINK("https://en.wikipedia.org/wiki/Creature_Shock","Wikipedia")</x:f>
        <x:v>Wikipedia</x:v>
      </x:c>
      <x:c r="BF489" s="11" t="str">
        <x:f>HYPERLINK("https://backloggd.com/search/games/Creature%20Shock/","Backloggd")</x:f>
        <x:v>Backloggd</x:v>
      </x:c>
      <x:c r="BG489" s="9"/>
      <x:c r="BH489" s="9"/>
      <x:c r="BI489" s="12" t="str">
        <x:v>No</x:v>
      </x:c>
      <x:c r="BJ489" s="12" t="str"/>
      <x:c r="BK489" s="12" t="str">
        <x:v>No</x:v>
      </x:c>
      <x:c r="BL489" s="12" t="str"/>
      <x:c r="BM489" s="12" t="str"/>
      <x:c r="BN489" s="12" t="str"/>
      <x:c r="BO489" s="12" t="str"/>
      <x:c r="BP489" s="12" t="str"/>
      <x:c r="BQ489" s="12" t="str"/>
    </x:row>
    <x:row r="490">
      <x:c r="A490" s="9" t="str">
        <x:v>jaguarcd-18</x:v>
      </x:c>
      <x:c r="B490" s="9" t="str">
        <x:v>demolition-man</x:v>
      </x:c>
      <x:c r="C490" s="9" t="str">
        <x:v>Atari Jaguar CD</x:v>
      </x:c>
      <x:c r="D490" s="9" t="str">
        <x:v>Demolition Man</x:v>
      </x:c>
      <x:c r="E490" s="9" t="str"/>
      <x:c r="F490" s="9" t="str">
        <x:v>Virgin Interactive Entertainment</x:v>
      </x:c>
      <x:c r="G490" s="9" t="str">
        <x:v>Unreleased (planned by Atari Corporation)</x:v>
      </x:c>
      <x:c r="H490" s="9" t="n">
        <x:v>1995</x:v>
      </x:c>
      <x:c r="I490" s="9" t="str">
        <x:v>Yes</x:v>
      </x:c>
      <x:c r="J490" s="9" t="str">
        <x:v>No</x:v>
      </x:c>
      <x:c r="K490" s="9" t="str">
        <x:v>Yes</x:v>
      </x:c>
      <x:c r="L490" s="9" t="str">
        <x:v>No</x:v>
      </x:c>
      <x:c r="M490" s="9" t="str">
        <x:v>Action / interactive movie</x:v>
      </x:c>
      <x:c r="N490" s="9" t="str">
        <x:v>Live-action</x:v>
      </x:c>
      <x:c r="O490" s="9" t="n">
        <x:v>5</x:v>
      </x:c>
      <x:c r="P490" s="9" t="str">
        <x:v>Prototype</x:v>
      </x:c>
      <x:c r="Q490" s="9" t="str">
        <x:v>NOT obtainable</x:v>
      </x:c>
      <x:c r="R490" s="9" t="str">
        <x:v>Film licence (Demolition Man, 1993); port of the 3DO game</x:v>
      </x:c>
      <x:c r="S490" s="9" t="str">
        <x:v>3DO (1995); 16-bit versions are different games</x:v>
      </x:c>
      <x:c r="T490" s="9" t="str">
        <x:v>Sylvester Stallone, Wesley Snipes, Jesse Ventura (new footage shot for the 3DO game)</x:v>
      </x:c>
      <x:c r="U490" s="9" t="n">
        <x:v>1</x:v>
      </x:c>
      <x:c r="V490" s="9" t="str">
        <x:v>Unknown — verify</x:v>
      </x:c>
      <x:c r="W490" s="9" t="str">
        <x:v>Jaguar CD add-on (required for all records). Memory Track cartridge for saves where noted.</x:v>
      </x:c>
      <x:c r="X490" s="9" t="str">
        <x:v>HIGH</x:v>
      </x:c>
      <x:c r="Y490" s="9" t="str">
        <x:v>Film clips and new footage of Stallone/Snipes (Warner Bros.)</x:v>
      </x:c>
      <x:c r="Z490" s="9" t="str">
        <x:v>2–3 hr</x:v>
      </x:c>
      <x:c r="AA490" s="9" t="str">
        <x:v>The 3DO's Stallone vs Snipes FMV shooter was headed to Jaguar CD before Atari pulled it.</x:v>
      </x:c>
      <x:c r="AB490" s="9" t="str">
        <x:v>None known</x:v>
      </x:c>
      <x:c r="AC490" s="9" t="str">
        <x:v>No build known</x:v>
      </x:c>
      <x:c r="AD490" s="9" t="str">
        <x:v>—</x:v>
      </x:c>
      <x:c r="AE490" s="9" t="str">
        <x:v>—</x:v>
      </x:c>
      <x:c r="AF490" s="9" t="str">
        <x:v>Stallone and Snipes filmed new footage for the 3DO game. The Jaguar CD port was cancelled after several delays.</x:v>
      </x:c>
      <x:c r="AG490" s="9" t="str">
        <x:v>None</x:v>
      </x:c>
      <x:c r="AH490" s="9" t="str">
        <x:v>No</x:v>
      </x:c>
      <x:c r="AI490" s="9" t="str">
        <x:v>Lost</x:v>
      </x:c>
      <x:c r="AJ490" s="9" t="str">
        <x:v>Not playable on Jaguar CD; 3DO version exists</x:v>
      </x:c>
      <x:c r="AK490" s="9" t="str">
        <x:v>No prototype known. Play the 3DO version.</x:v>
      </x:c>
      <x:c r="AL490" s="10"/>
      <x:c r="AM490" s="10"/>
      <x:c r="AN490" s="10"/>
      <x:c r="AO490" s="9"/>
      <x:c r="AP490" s="11" t="str">
        <x:f>HYPERLINK("https://www.pricecharting.com/search-products?q=Demolition+Man+jaguar+cd&amp;type=prices","PriceCharting")</x:f>
        <x:v>PriceCharting</x:v>
      </x:c>
      <x:c r="AQ490" s="9"/>
      <x:c r="AR490" s="9"/>
      <x:c r="AS490" s="9"/>
      <x:c r="AT490" s="9"/>
      <x:c r="AU490" s="9"/>
      <x:c r="AV490" s="9"/>
      <x:c r="AW490" s="9"/>
      <x:c r="AX490" s="9"/>
      <x:c r="AY490" s="9"/>
      <x:c r="AZ490" s="9"/>
      <x:c r="BA490" s="11" t="str">
        <x:f>HYPERLINK("https://www.mobygames.com/search/?q=Demolition+Man","MobyGames")</x:f>
        <x:v>MobyGames</x:v>
      </x:c>
      <x:c r="BB490" s="9"/>
      <x:c r="BC490" s="9"/>
      <x:c r="BD490" s="9"/>
      <x:c r="BE490" s="11" t="str">
        <x:f>HYPERLINK("https://en.wikipedia.org/wiki/Demolition_Man_(video_game)","Wikipedia")</x:f>
        <x:v>Wikipedia</x:v>
      </x:c>
      <x:c r="BF490" s="11" t="str">
        <x:f>HYPERLINK("https://backloggd.com/search/games/Demolition%20Man/","Backloggd")</x:f>
        <x:v>Backloggd</x:v>
      </x:c>
      <x:c r="BG490" s="9"/>
      <x:c r="BH490" s="9"/>
      <x:c r="BI490" s="12" t="str">
        <x:v>No</x:v>
      </x:c>
      <x:c r="BJ490" s="12" t="str"/>
      <x:c r="BK490" s="12" t="str">
        <x:v>No</x:v>
      </x:c>
      <x:c r="BL490" s="12" t="str"/>
      <x:c r="BM490" s="12" t="str"/>
      <x:c r="BN490" s="12" t="str"/>
      <x:c r="BO490" s="12" t="str"/>
      <x:c r="BP490" s="12" t="str"/>
      <x:c r="BQ490" s="12" t="str"/>
    </x:row>
    <x:row r="491">
      <x:c r="A491" s="9" t="str">
        <x:v>pcfx-1</x:v>
      </x:c>
      <x:c r="B491" s="9" t="str">
        <x:v>team-innocent</x:v>
      </x:c>
      <x:c r="C491" s="9" t="str">
        <x:v>NEC PC-FX</x:v>
      </x:c>
      <x:c r="D491" s="9" t="str">
        <x:v>Team Innocent: The Point of No Return</x:v>
      </x:c>
      <x:c r="E491" s="9" t="str">
        <x:v>Team Innocent: The Point of No Return – G.C.P.O.SS</x:v>
      </x:c>
      <x:c r="F491" s="9" t="str">
        <x:v>Hudson Soft</x:v>
      </x:c>
      <x:c r="G491" s="9" t="str">
        <x:v>Hudson Soft (JP)</x:v>
      </x:c>
      <x:c r="H491" s="9" t="n">
        <x:v>1994</x:v>
      </x:c>
      <x:c r="I491" s="9" t="str">
        <x:v>No</x:v>
      </x:c>
      <x:c r="J491" s="9" t="str">
        <x:v>Yes</x:v>
      </x:c>
      <x:c r="K491" s="9" t="str">
        <x:v>No</x:v>
      </x:c>
      <x:c r="L491" s="9" t="str">
        <x:v>No</x:v>
      </x:c>
      <x:c r="M491" s="9" t="str">
        <x:v>Action-adventure / survival horror</x:v>
      </x:c>
      <x:c r="N491" s="9" t="str">
        <x:v>Animated</x:v>
      </x:c>
      <x:c r="O491" s="9" t="n">
        <x:v>4</x:v>
      </x:c>
      <x:c r="P491" s="9" t="str">
        <x:v>FMV adventure</x:v>
      </x:c>
      <x:c r="Q491" s="9" t="str">
        <x:v>Released</x:v>
      </x:c>
      <x:c r="R491" s="9" t="str">
        <x:v>Original production (PC-FX launch title)</x:v>
      </x:c>
      <x:c r="S491" s="9" t="str">
        <x:v>None</x:v>
      </x:c>
      <x:c r="T491" s="9" t="str">
        <x:v>Chiko Maruo (Saki), Yumi Nakatani (Lilith), Chiharu Kataishi (Ariel), Jūrōta Kosugi (Sigurs Grant), Kei Tomiyama (Kronos Enhancer)</x:v>
      </x:c>
      <x:c r="U491" s="9" t="n">
        <x:v>1</x:v>
      </x:c>
      <x:c r="V491" s="9" t="str">
        <x:v>Yes</x:v>
      </x:c>
      <x:c r="W491" s="9" t="str">
        <x:v>PC-FX pad; save uses internal backup RAM (or FX-BMP backup card) — verify</x:v>
      </x:c>
      <x:c r="X491" s="9" t="str">
        <x:v>Low</x:v>
      </x:c>
      <x:c r="Y491" s="9" t="str"/>
      <x:c r="Z491" s="9" t="str">
        <x:v>5–8 hr (three missions) — verify</x:v>
      </x:c>
      <x:c r="AA491" s="9" t="str">
        <x:v>The PC-FX's launch-day answer to Alone in the Dark: three genetically engineered space cops, pre-rendered rooms and fully voiced anime scenes, now playable in English.</x:v>
      </x:c>
      <x:c r="AB491" s="9" t="str">
        <x:v>None known</x:v>
      </x:c>
      <x:c r="AC491" s="9" t="str">
        <x:v>Anime-style FMV cutscenes and voiced lip-synced talking portraits via Motion JPEG decoded by the HuC6271 'Rainbow' chip (up to 30 fps); gameplay is 2D sprites over pre-rendered backgrounds with fixed camera angles — exact cutscene size verify</x:v>
      </x:c>
      <x:c r="AD491" s="9" t="str">
        <x:v>Moderate; item puzzles plus clunky four-mode combat (punch, kick, shoot, jump)</x:v>
      </x:c>
      <x:c r="AE491" s="9" t="str">
        <x:v>Three missions, one per heroine (Saki, Lilis, Ariel); branching beyond that unknown — verify</x:v>
      </x:c>
      <x:c r="AF491" s="9" t="str">
        <x:v>Released 23 December 1994 alongside Battle Heat and Sotsugyō II as one of the PC-FX's three launch games.</x:v>
      </x:c>
      <x:c r="AG491" s="9" t="str">
        <x:v>Single Japanese release; no known reprint — verify</x:v>
      </x:c>
      <x:c r="AH491" s="9" t="str">
        <x:v>No</x:v>
      </x:c>
      <x:c r="AI491" s="9" t="str">
        <x:v>Import</x:v>
      </x:c>
      <x:c r="AJ491" s="9" t="str">
        <x:v>Original PC-FX hardware (Japanese import), or Mednafen / RetroArch Beetle PC-FX with the pcfx.rom BIOS; English fan patch available (Pascarella et al., 2024)</x:v>
      </x:c>
      <x:c r="AK491" s="9" t="str">
        <x:v>Fan English translation patch (Dec 2024; v0.9.1 Feb 2025) by Derek Pascarella, Elmer, EsperKnight, translator Filler, editors Eien ni Hen and hasnopants: translates dialogue, menus and text; subtitled FMVs are separate on the project's GitHub. Unpatched it needs Japanese reading for puzzles and dialogue. Sources describe pre-rendered backgrounds with 2D sprites, not 3D polygons.</x:v>
      </x:c>
      <x:c r="AL491" s="10" t="n">
        <x:v>58.91</x:v>
      </x:c>
      <x:c r="AM491" s="10" t="n">
        <x:v>83.08</x:v>
      </x:c>
      <x:c r="AN491" s="10" t="n">
        <x:v>166</x:v>
      </x:c>
      <x:c r="AO491" s="9" t="str">
        <x:v>2026-10-24</x:v>
      </x:c>
      <x:c r="AP491" s="11" t="str">
        <x:f>HYPERLINK("https://www.pricecharting.com/search-products?q=Team+Innocent%3A+The+Point+of+No+Return+pc-fx&amp;type=prices","PriceCharting")</x:f>
        <x:v>PriceCharting</x:v>
      </x:c>
      <x:c r="AQ491" s="9"/>
      <x:c r="AR491" s="9"/>
      <x:c r="AS491" s="9"/>
      <x:c r="AT491" s="9"/>
      <x:c r="AU491" s="9"/>
      <x:c r="AV491" s="9"/>
      <x:c r="AW491" s="9"/>
      <x:c r="AX491" s="9"/>
      <x:c r="AY491" s="9"/>
      <x:c r="AZ491" s="9"/>
      <x:c r="BA491" s="11" t="str">
        <x:f>HYPERLINK("https://www.mobygames.com/search/?q=Team+Innocent%3A+The+Point+of+No+Return","MobyGames")</x:f>
        <x:v>MobyGames</x:v>
      </x:c>
      <x:c r="BB491" s="9"/>
      <x:c r="BC491" s="9"/>
      <x:c r="BD491" s="9"/>
      <x:c r="BE491" s="9"/>
      <x:c r="BF491" s="11" t="str">
        <x:f>HYPERLINK("https://backloggd.com/search/games/Team%20Innocent%3A%20The%20Point%20of%20No%20Return/","Backloggd")</x:f>
        <x:v>Backloggd</x:v>
      </x:c>
      <x:c r="BG491" s="9"/>
      <x:c r="BH491" s="9"/>
      <x:c r="BI491" s="12" t="str">
        <x:v>No</x:v>
      </x:c>
      <x:c r="BJ491" s="12" t="str"/>
      <x:c r="BK491" s="12" t="str">
        <x:v>No</x:v>
      </x:c>
      <x:c r="BL491" s="12" t="str"/>
      <x:c r="BM491" s="12" t="str"/>
      <x:c r="BN491" s="12" t="str"/>
      <x:c r="BO491" s="12" t="str"/>
      <x:c r="BP491" s="12" t="str"/>
      <x:c r="BQ491" s="12" t="str"/>
    </x:row>
    <x:row r="492">
      <x:c r="A492" s="9" t="str">
        <x:v>pcfx-2</x:v>
      </x:c>
      <x:c r="B492" s="9" t="str">
        <x:v>battle-heat</x:v>
      </x:c>
      <x:c r="C492" s="9" t="str">
        <x:v>NEC PC-FX</x:v>
      </x:c>
      <x:c r="D492" s="9" t="str">
        <x:v>Battle Heat!</x:v>
      </x:c>
      <x:c r="E492" s="9" t="str">
        <x:v>Battle Heat</x:v>
      </x:c>
      <x:c r="F492" s="9" t="str">
        <x:v>Hudson Soft</x:v>
      </x:c>
      <x:c r="G492" s="9" t="str">
        <x:v>Hudson Soft (JP)</x:v>
      </x:c>
      <x:c r="H492" s="9" t="n">
        <x:v>1994</x:v>
      </x:c>
      <x:c r="I492" s="9" t="str">
        <x:v>No</x:v>
      </x:c>
      <x:c r="J492" s="9" t="str">
        <x:v>Yes</x:v>
      </x:c>
      <x:c r="K492" s="9" t="str">
        <x:v>No</x:v>
      </x:c>
      <x:c r="L492" s="9" t="str">
        <x:v>No</x:v>
      </x:c>
      <x:c r="M492" s="9" t="str">
        <x:v>Fighting (FMV)</x:v>
      </x:c>
      <x:c r="N492" s="9" t="str">
        <x:v>Animated</x:v>
      </x:c>
      <x:c r="O492" s="9" t="n">
        <x:v>9</x:v>
      </x:c>
      <x:c r="P492" s="9" t="str">
        <x:v>Interactive movie</x:v>
      </x:c>
      <x:c r="Q492" s="9" t="str">
        <x:v>Released</x:v>
      </x:c>
      <x:c r="R492" s="9" t="str">
        <x:v>Original production (PC-FX launch title)</x:v>
      </x:c>
      <x:c r="S492" s="9" t="str">
        <x:v>None</x:v>
      </x:c>
      <x:c r="T492" s="9" t="str">
        <x:v>Character designs by Junichi Hayama (Fist of the North Star anime); voice cast verify</x:v>
      </x:c>
      <x:c r="U492" s="9" t="n">
        <x:v>1</x:v>
      </x:c>
      <x:c r="V492" s="9" t="str">
        <x:v>Yes</x:v>
      </x:c>
      <x:c r="W492" s="9" t="str">
        <x:v>PC-FX pad; save uses internal backup RAM (or FX-BMP backup card) — verify</x:v>
      </x:c>
      <x:c r="X492" s="9" t="str">
        <x:v>Low</x:v>
      </x:c>
      <x:c r="Y492" s="9" t="str"/>
      <x:c r="Z492" s="9" t="str">
        <x:v>30–60 min per character</x:v>
      </x:c>
      <x:c r="AA492" s="9" t="str">
        <x:v>A one-on-one fighter where every punch, block and counter is a hand-drawn anime clip: the purest demo of why the PC-FX existed, and famously stiff to play.</x:v>
      </x:c>
      <x:c r="AB492" s="9" t="str">
        <x:v>Code reportedly unlocks bosses Zero and True Götz von Dark (verify; inputs not confirmed)</x:v>
      </x:c>
      <x:c r="AC492" s="9" t="str">
        <x:v>Fighters are full-screen streamed cel-anime clips triggered by inputs, with HUD overlaid; Motion JPEG decoded by the HuC6271 'Rainbow' chip (up to 30 fps) — exact frame rate verify</x:v>
      </x:c>
      <x:c r="AD492" s="9" t="str">
        <x:v>Very hard CPU; long counter chains reward memorising clip timing</x:v>
      </x:c>
      <x:c r="AE492" s="9" t="str">
        <x:v>Per-character endings (verify)</x:v>
      </x:c>
      <x:c r="AF492" s="9" t="str">
        <x:v>Eight playable fighters split between the Republic of Kliph and the Holy Dark Empire; each has their own theme song.</x:v>
      </x:c>
      <x:c r="AG492" s="9" t="str">
        <x:v>Single Japanese release; no known reprint — verify</x:v>
      </x:c>
      <x:c r="AH492" s="9" t="str">
        <x:v>No</x:v>
      </x:c>
      <x:c r="AI492" s="9" t="str">
        <x:v>Import</x:v>
      </x:c>
      <x:c r="AJ492" s="9" t="str">
        <x:v>Original PC-FX hardware (Japanese import), or Mednafen / RetroArch Beetle PC-FX with the pcfx.rom BIOS; no fan translation known</x:v>
      </x:c>
      <x:c r="AK492" s="9" t="str">
        <x:v>Has a poor reputation in the West for sluggish response, the cost of switching video clips. Little Japanese reading needed beyond story text; playable without a translation. No fan translation known.</x:v>
      </x:c>
      <x:c r="AL492" s="10" t="n">
        <x:v>61.47</x:v>
      </x:c>
      <x:c r="AM492" s="10" t="n">
        <x:v>63.23</x:v>
      </x:c>
      <x:c r="AN492" s="10" t="n">
        <x:v>77.28</x:v>
      </x:c>
      <x:c r="AO492" s="9" t="str">
        <x:v>2026-10-24</x:v>
      </x:c>
      <x:c r="AP492" s="11" t="str">
        <x:f>HYPERLINK("https://www.pricecharting.com/search-products?q=Battle+Heat%21+pc-fx&amp;type=prices","PriceCharting")</x:f>
        <x:v>PriceCharting</x:v>
      </x:c>
      <x:c r="AQ492" s="9"/>
      <x:c r="AR492" s="9"/>
      <x:c r="AS492" s="9"/>
      <x:c r="AT492" s="9"/>
      <x:c r="AU492" s="9"/>
      <x:c r="AV492" s="9"/>
      <x:c r="AW492" s="9"/>
      <x:c r="AX492" s="9"/>
      <x:c r="AY492" s="9"/>
      <x:c r="AZ492" s="9"/>
      <x:c r="BA492" s="11" t="str">
        <x:f>HYPERLINK("https://www.mobygames.com/search/?q=Battle+Heat%21","MobyGames")</x:f>
        <x:v>MobyGames</x:v>
      </x:c>
      <x:c r="BB492" s="9"/>
      <x:c r="BC492" s="9"/>
      <x:c r="BD492" s="9"/>
      <x:c r="BE492" s="9"/>
      <x:c r="BF492" s="11" t="str">
        <x:f>HYPERLINK("https://backloggd.com/search/games/Battle%20Heat%21/","Backloggd")</x:f>
        <x:v>Backloggd</x:v>
      </x:c>
      <x:c r="BG492" s="9"/>
      <x:c r="BH492" s="9"/>
      <x:c r="BI492" s="12" t="str">
        <x:v>No</x:v>
      </x:c>
      <x:c r="BJ492" s="12" t="str"/>
      <x:c r="BK492" s="12" t="str">
        <x:v>No</x:v>
      </x:c>
      <x:c r="BL492" s="12" t="str"/>
      <x:c r="BM492" s="12" t="str"/>
      <x:c r="BN492" s="12" t="str"/>
      <x:c r="BO492" s="12" t="str"/>
      <x:c r="BP492" s="12" t="str"/>
      <x:c r="BQ492" s="12" t="str"/>
    </x:row>
    <x:row r="493">
      <x:c r="A493" s="9" t="str">
        <x:v>pcfx-3</x:v>
      </x:c>
      <x:c r="B493" s="9" t="str">
        <x:v>kishin-doji-zenki-fx-vajra-fight</x:v>
      </x:c>
      <x:c r="C493" s="9" t="str">
        <x:v>NEC PC-FX</x:v>
      </x:c>
      <x:c r="D493" s="9" t="str">
        <x:v>Kishin Dōji Zenki FX: Vajra Fight</x:v>
      </x:c>
      <x:c r="E493" s="9" t="str">
        <x:v>Kishin Douji Zenki FX: Vajura Fight</x:v>
      </x:c>
      <x:c r="F493" s="9" t="str">
        <x:v>Hudson Soft</x:v>
      </x:c>
      <x:c r="G493" s="9" t="str">
        <x:v>Hudson Soft (JP)</x:v>
      </x:c>
      <x:c r="H493" s="9" t="n">
        <x:v>1995</x:v>
      </x:c>
      <x:c r="I493" s="9" t="str">
        <x:v>No</x:v>
      </x:c>
      <x:c r="J493" s="9" t="str">
        <x:v>Yes</x:v>
      </x:c>
      <x:c r="K493" s="9" t="str">
        <x:v>No</x:v>
      </x:c>
      <x:c r="L493" s="9" t="str">
        <x:v>No</x:v>
      </x:c>
      <x:c r="M493" s="9" t="str">
        <x:v>Side-scrolling beat 'em up</x:v>
      </x:c>
      <x:c r="N493" s="9" t="str">
        <x:v>Animated</x:v>
      </x:c>
      <x:c r="O493" s="9" t="n">
        <x:v>2</x:v>
      </x:c>
      <x:c r="P493" s="9" t="str">
        <x:v>Cutscenes only</x:v>
      </x:c>
      <x:c r="Q493" s="9" t="str">
        <x:v>Released</x:v>
      </x:c>
      <x:c r="R493" s="9" t="str">
        <x:v>Anime/manga licence (Kishin Dōji Zenki, Kikuhide Tani &amp; Yoshihiro Kuroiwa)</x:v>
      </x:c>
      <x:c r="S493" s="9" t="str">
        <x:v>None (other Zenki games on Super Famicom, Game Gear, Saturn are different games)</x:v>
      </x:c>
      <x:c r="T493" s="9" t="str">
        <x:v>Zenki anime voice cast — verify</x:v>
      </x:c>
      <x:c r="U493" s="9" t="n">
        <x:v>1</x:v>
      </x:c>
      <x:c r="V493" s="9" t="str">
        <x:v>Yes</x:v>
      </x:c>
      <x:c r="W493" s="9" t="str">
        <x:v>PC-FX pad; 2-player simultaneous (needs second pad)</x:v>
      </x:c>
      <x:c r="X493" s="9" t="str">
        <x:v>Med</x:v>
      </x:c>
      <x:c r="Y493" s="9" t="str">
        <x:v>Licensed Zenki anime characters and possible anime voice/music in intermission scenes</x:v>
      </x:c>
      <x:c r="Z493" s="9" t="str">
        <x:v>1–2 hr</x:v>
      </x:c>
      <x:c r="AA493" s="9" t="str">
        <x:v>The PC-FX's rarest and best-regarded game: a frantic two-player sprite brawler with anime intermissions, now selling for over $1,000 boxed.</x:v>
      </x:c>
      <x:c r="AB493" s="9" t="str">
        <x:v>Level select via a title-screen code (verify; inputs not confirmed)</x:v>
      </x:c>
      <x:c r="AC493" s="9" t="str">
        <x:v>Anime intermission/cutscene video via Motion JPEG decoded by the HuC6271 'Rainbow' chip (up to 30 fps); gameplay is detailed 2D sprites — cutscene size verify</x:v>
      </x:c>
      <x:c r="AD493" s="9" t="str">
        <x:v>Moderate; limited continues, boss-heavy</x:v>
      </x:c>
      <x:c r="AE493" s="9" t="str">
        <x:v>Single ending (verify)</x:v>
      </x:c>
      <x:c r="AF493" s="9" t="str">
        <x:v>Fourth game based on Zenki; ¥7,800 at launch. Famitsu 29/40, GameFan 255/300; Retro Gamer named it one of the best PC-FX games.</x:v>
      </x:c>
      <x:c r="AG493" s="9" t="str">
        <x:v>Single Japanese release; no known reprint — verify</x:v>
      </x:c>
      <x:c r="AH493" s="9" t="str">
        <x:v>No</x:v>
      </x:c>
      <x:c r="AI493" s="9" t="str">
        <x:v>Expensive</x:v>
      </x:c>
      <x:c r="AJ493" s="9" t="str">
        <x:v>Original PC-FX hardware (Japanese import), or Mednafen / RetroArch Beetle PC-FX with the pcfx.rom BIOS; no fan translation known</x:v>
      </x:c>
      <x:c r="AK493" s="9" t="str">
        <x:v>Gameplay playable without Japanese; story needs reading. No fan translation known. GameRankings 60% (Wikipedia). Loose price not on PriceCharting; CIB ~$1,388.</x:v>
      </x:c>
      <x:c r="AL493" s="10"/>
      <x:c r="AM493" s="10" t="n">
        <x:v>1388.32</x:v>
      </x:c>
      <x:c r="AN493" s="10" t="n">
        <x:v>2777</x:v>
      </x:c>
      <x:c r="AO493" s="9" t="str">
        <x:v>2026-10-24</x:v>
      </x:c>
      <x:c r="AP493" s="11" t="str">
        <x:f>HYPERLINK("https://www.pricecharting.com/search-products?q=Kishin+D%C5%8Dji+Zenki+FX%3A+Vajra+Fight+pc-fx&amp;type=prices","PriceCharting")</x:f>
        <x:v>PriceCharting</x:v>
      </x:c>
      <x:c r="AQ493" s="9"/>
      <x:c r="AR493" s="9"/>
      <x:c r="AS493" s="9"/>
      <x:c r="AT493" s="9"/>
      <x:c r="AU493" s="9"/>
      <x:c r="AV493" s="9"/>
      <x:c r="AW493" s="9"/>
      <x:c r="AX493" s="9"/>
      <x:c r="AY493" s="9"/>
      <x:c r="AZ493" s="9"/>
      <x:c r="BA493" s="11" t="str">
        <x:f>HYPERLINK("https://www.mobygames.com/game/43206","MobyGames")</x:f>
        <x:v>MobyGames</x:v>
      </x:c>
      <x:c r="BB493" s="9" t="str">
        <x:v>72%</x:v>
      </x:c>
      <x:c r="BC493" s="9" t="str">
        <x:v>average of 3 reviews on Wikipedia (Fam, GameFan, HonestGamers)</x:v>
      </x:c>
      <x:c r="BD493" s="9" t="str">
        <x:f>HYPERLINK("https://en.wikipedia.org/wiki/Kishin_D%C5%8Dji_Zenki_FX%3A_Vajra_Fight","Source")</x:f>
        <x:v>Source</x:v>
      </x:c>
      <x:c r="BE493" s="11" t="str">
        <x:f>HYPERLINK("https://en.wikipedia.org/wiki/Kishin_D%C5%8Dji_Zenki_FX:_Vajra_Fight","Wikipedia")</x:f>
        <x:v>Wikipedia</x:v>
      </x:c>
      <x:c r="BF493" s="11" t="str">
        <x:f>HYPERLINK("https://backloggd.com/search/games/Kishin%20D%C5%8Dji%20Zenki%20FX%3A%20Vajra%20Fight/","Backloggd")</x:f>
        <x:v>Backloggd</x:v>
      </x:c>
      <x:c r="BG493" s="9"/>
      <x:c r="BH493" s="9"/>
      <x:c r="BI493" s="12" t="str">
        <x:v>No</x:v>
      </x:c>
      <x:c r="BJ493" s="12" t="str"/>
      <x:c r="BK493" s="12" t="str">
        <x:v>No</x:v>
      </x:c>
      <x:c r="BL493" s="12" t="str"/>
      <x:c r="BM493" s="12" t="str"/>
      <x:c r="BN493" s="12" t="str"/>
      <x:c r="BO493" s="12" t="str"/>
      <x:c r="BP493" s="12" t="str"/>
      <x:c r="BQ493" s="12" t="str"/>
    </x:row>
    <x:row r="494">
      <x:c r="A494" s="9" t="str">
        <x:v>pcfx-4</x:v>
      </x:c>
      <x:c r="B494" s="9" t="str">
        <x:v>tengai-makyo-denno-karakuri-kakutoden</x:v>
      </x:c>
      <x:c r="C494" s="9" t="str">
        <x:v>NEC PC-FX</x:v>
      </x:c>
      <x:c r="D494" s="9" t="str">
        <x:v>Tengai Makyō: Dennō Karakuri Kakutōden</x:v>
      </x:c>
      <x:c r="E494" s="9" t="str">
        <x:v>Far East of Eden: Dennō Karakuri Kakutōden</x:v>
      </x:c>
      <x:c r="F494" s="9" t="str">
        <x:v>Red Company (Red Entertainment), Produce</x:v>
      </x:c>
      <x:c r="G494" s="9" t="str">
        <x:v>Hudson Soft (JP)</x:v>
      </x:c>
      <x:c r="H494" s="9" t="n">
        <x:v>1995</x:v>
      </x:c>
      <x:c r="I494" s="9" t="str">
        <x:v>No</x:v>
      </x:c>
      <x:c r="J494" s="9" t="str">
        <x:v>Yes</x:v>
      </x:c>
      <x:c r="K494" s="9" t="str">
        <x:v>No</x:v>
      </x:c>
      <x:c r="L494" s="9" t="str">
        <x:v>No</x:v>
      </x:c>
      <x:c r="M494" s="9" t="str">
        <x:v>Fighting</x:v>
      </x:c>
      <x:c r="N494" s="9" t="str">
        <x:v>Animated</x:v>
      </x:c>
      <x:c r="O494" s="9" t="n">
        <x:v>3</x:v>
      </x:c>
      <x:c r="P494" s="9" t="str">
        <x:v>Cutscenes only</x:v>
      </x:c>
      <x:c r="Q494" s="9" t="str">
        <x:v>Released</x:v>
      </x:c>
      <x:c r="R494" s="9" t="str">
        <x:v>Tengai Makyō (Far East of Eden) series spin-off</x:v>
      </x:c>
      <x:c r="S494" s="9" t="str">
        <x:v>None (distinct from the Neo Geo Kabuki Klash — verify)</x:v>
      </x:c>
      <x:c r="T494" s="9" t="str">
        <x:v>—</x:v>
      </x:c>
      <x:c r="U494" s="9" t="n">
        <x:v>1</x:v>
      </x:c>
      <x:c r="V494" s="9" t="str">
        <x:v>Yes</x:v>
      </x:c>
      <x:c r="W494" s="9" t="str">
        <x:v>PC-FX pad; save uses internal backup RAM (or FX-BMP backup card) — verify</x:v>
      </x:c>
      <x:c r="X494" s="9" t="str">
        <x:v>Low</x:v>
      </x:c>
      <x:c r="Y494" s="9" t="str"/>
      <x:c r="Z494" s="9" t="str">
        <x:v>1 hr</x:v>
      </x:c>
      <x:c r="AA494" s="9" t="str">
        <x:v>Hudson's Far East of Eden cast turned into mechanical fighting puppets, with anime story scenes on NEC's video machine.</x:v>
      </x:c>
      <x:c r="AB494" s="9" t="str">
        <x:v>None known</x:v>
      </x:c>
      <x:c r="AC494" s="9" t="str">
        <x:v>Anime story scenes via Motion JPEG decoded by the HuC6271 'Rainbow' chip (up to 30 fps); fights are 2D sprites — verify how much is video</x:v>
      </x:c>
      <x:c r="AD494" s="9" t="str">
        <x:v>Unknown — verify</x:v>
      </x:c>
      <x:c r="AE494" s="9" t="str">
        <x:v>Unknown — verify</x:v>
      </x:c>
      <x:c r="AF494" s="9" t="str">
        <x:v>Released 28 July 1995; one of only a handful of fighters on the PC-FX alongside Battle Heat.</x:v>
      </x:c>
      <x:c r="AG494" s="9" t="str">
        <x:v>Single Japanese release; no known reprint — verify</x:v>
      </x:c>
      <x:c r="AH494" s="9" t="str">
        <x:v>No</x:v>
      </x:c>
      <x:c r="AI494" s="9" t="str">
        <x:v>Expensive</x:v>
      </x:c>
      <x:c r="AJ494" s="9" t="str">
        <x:v>Original PC-FX hardware (Japanese import), or Mednafen / RetroArch Beetle PC-FX with the pcfx.rom BIOS; no fan translation known</x:v>
      </x:c>
      <x:c r="AK494" s="9" t="str">
        <x:v>Gameplay details thin in available sources; fmv rating and sprite/video split need verifying. Fights need no Japanese; story does. No fan translation known.</x:v>
      </x:c>
      <x:c r="AL494" s="10" t="n">
        <x:v>105.35</x:v>
      </x:c>
      <x:c r="AM494" s="10" t="n">
        <x:v>119.99</x:v>
      </x:c>
      <x:c r="AN494" s="10" t="n">
        <x:v>240</x:v>
      </x:c>
      <x:c r="AO494" s="9" t="str">
        <x:v>2026-10-24</x:v>
      </x:c>
      <x:c r="AP494" s="11" t="str">
        <x:f>HYPERLINK("https://www.pricecharting.com/search-products?q=Tengai+Maky%C5%8D%3A+Denn%C5%8D+Karakuri+Kakut%C5%8Dden+pc-fx&amp;type=prices","PriceCharting")</x:f>
        <x:v>PriceCharting</x:v>
      </x:c>
      <x:c r="AQ494" s="9"/>
      <x:c r="AR494" s="9"/>
      <x:c r="AS494" s="9"/>
      <x:c r="AT494" s="9"/>
      <x:c r="AU494" s="9"/>
      <x:c r="AV494" s="9"/>
      <x:c r="AW494" s="9"/>
      <x:c r="AX494" s="9"/>
      <x:c r="AY494" s="9"/>
      <x:c r="AZ494" s="9"/>
      <x:c r="BA494" s="11" t="str">
        <x:f>HYPERLINK("https://www.mobygames.com/search/?q=Tengai+Maky%C5%8D%3A+Denn%C5%8D+Karakuri+Kakut%C5%8Dden","MobyGames")</x:f>
        <x:v>MobyGames</x:v>
      </x:c>
      <x:c r="BB494" s="9"/>
      <x:c r="BC494" s="9"/>
      <x:c r="BD494" s="9"/>
      <x:c r="BE494" s="9"/>
      <x:c r="BF494" s="11" t="str">
        <x:f>HYPERLINK("https://backloggd.com/search/games/Tengai%20Maky%C5%8D%3A%20Denn%C5%8D%20Karakuri%20Kakut%C5%8Dden/","Backloggd")</x:f>
        <x:v>Backloggd</x:v>
      </x:c>
      <x:c r="BG494" s="9"/>
      <x:c r="BH494" s="9"/>
      <x:c r="BI494" s="12" t="str">
        <x:v>No</x:v>
      </x:c>
      <x:c r="BJ494" s="12" t="str"/>
      <x:c r="BK494" s="12" t="str">
        <x:v>No</x:v>
      </x:c>
      <x:c r="BL494" s="12" t="str"/>
      <x:c r="BM494" s="12" t="str"/>
      <x:c r="BN494" s="12" t="str"/>
      <x:c r="BO494" s="12" t="str"/>
      <x:c r="BP494" s="12" t="str"/>
      <x:c r="BQ494" s="12" t="str"/>
    </x:row>
    <x:row r="495">
      <x:c r="A495" s="9" t="str">
        <x:v>pcfx-5</x:v>
      </x:c>
      <x:c r="B495" s="9" t="str">
        <x:v>return-to-zork</x:v>
      </x:c>
      <x:c r="C495" s="9" t="str">
        <x:v>NEC PC-FX</x:v>
      </x:c>
      <x:c r="D495" s="9" t="str">
        <x:v>Return to Zork</x:v>
      </x:c>
      <x:c r="E495" s="9" t="str"/>
      <x:c r="F495" s="9" t="str">
        <x:v>Activision (original); PC-FX port by Data West</x:v>
      </x:c>
      <x:c r="G495" s="9" t="str">
        <x:v>NEC Home Electronics (JP)</x:v>
      </x:c>
      <x:c r="H495" s="9" t="n">
        <x:v>1995</x:v>
      </x:c>
      <x:c r="I495" s="9" t="str">
        <x:v>No</x:v>
      </x:c>
      <x:c r="J495" s="9" t="str">
        <x:v>Yes</x:v>
      </x:c>
      <x:c r="K495" s="9" t="str">
        <x:v>No</x:v>
      </x:c>
      <x:c r="L495" s="9" t="str">
        <x:v>No</x:v>
      </x:c>
      <x:c r="M495" s="9" t="str">
        <x:v>Graphic adventure</x:v>
      </x:c>
      <x:c r="N495" s="9" t="str">
        <x:v>Live-action + pre-rendered CG</x:v>
      </x:c>
      <x:c r="O495" s="9" t="n">
        <x:v>6</x:v>
      </x:c>
      <x:c r="P495" s="9" t="str">
        <x:v>FMV adventure</x:v>
      </x:c>
      <x:c r="Q495" s="9" t="str">
        <x:v>Released</x:v>
      </x:c>
      <x:c r="R495" s="9" t="str">
        <x:v>PC original (Activision, 1993)</x:v>
      </x:c>
      <x:c r="S495" s="9" t="str">
        <x:v>MS-DOS, Mac (1993); FM Towns (1994, JP); Saturn and PlayStation (1996, JP)</x:v>
      </x:c>
      <x:c r="T495" s="9" t="str">
        <x:v>Robyn Lively, Jason Hervey, Sam J. Jones, A.J. Langer</x:v>
      </x:c>
      <x:c r="U495" s="9" t="n">
        <x:v>1</x:v>
      </x:c>
      <x:c r="V495" s="9" t="str">
        <x:v>Yes</x:v>
      </x:c>
      <x:c r="W495" s="9" t="str">
        <x:v>PC-FX pad; save uses internal backup RAM (or FX-BMP backup card) — verify</x:v>
      </x:c>
      <x:c r="X495" s="9" t="str">
        <x:v>Low</x:v>
      </x:c>
      <x:c r="Y495" s="9" t="str"/>
      <x:c r="Z495" s="9" t="str">
        <x:v>8–12 hr</x:v>
      </x:c>
      <x:c r="AA495" s="9" t="str">
        <x:v>Activision's cult live-action Zork sequel, “Want some rye?” and all, rebuilt for NEC's video console and Japanese players.</x:v>
      </x:c>
      <x:c r="AB495" s="9" t="str">
        <x:v>None known</x:v>
      </x:c>
      <x:c r="AC495" s="9" t="str">
        <x:v>Live-action actors in windows over pre-rendered first-person scenes via Motion JPEG decoded by the HuC6271 'Rainbow' chip (up to 30 fps) — size verify</x:v>
      </x:c>
      <x:c r="AD495" s="9" t="str">
        <x:v>Hard; classic adventure dead ends possible</x:v>
      </x:c>
      <x:c r="AE495" s="9" t="str">
        <x:v>Several game-over paths; one true ending</x:v>
      </x:c>
      <x:c r="AF495" s="9" t="str">
        <x:v>Planned 3DO and Jaguar versions were cancelled; Japan got FM Towns, PC-FX, Saturn and PlayStation ports instead.</x:v>
      </x:c>
      <x:c r="AG495" s="9" t="str">
        <x:v>Single Japanese release; no known reprint — verify</x:v>
      </x:c>
      <x:c r="AH495" s="9" t="str">
        <x:v>No (PC-FX version); DOS original on GOG/Steam</x:v>
      </x:c>
      <x:c r="AI495" s="9" t="str">
        <x:v>Import</x:v>
      </x:c>
      <x:c r="AJ495" s="9" t="str">
        <x:v>Original PC-FX hardware (Japanese import), or Mednafen / RetroArch Beetle PC-FX with the pcfx.rom BIOS; English original playable on DOS/Mac (GOG/Steam via Zork collections)</x:v>
      </x:c>
      <x:c r="AK495" s="9" t="str">
        <x:v>Japan-only port. Whether the PC-FX keeps the English voice track with Japanese subtitles or is fully dubbed is unconfirmed (verify). Needs Japanese reading for text/inventory. No fan translation; English versions exist on PC.</x:v>
      </x:c>
      <x:c r="AL495" s="10" t="n">
        <x:v>56.25</x:v>
      </x:c>
      <x:c r="AM495" s="10" t="n">
        <x:v>123.75</x:v>
      </x:c>
      <x:c r="AN495" s="10" t="n">
        <x:v>248</x:v>
      </x:c>
      <x:c r="AO495" s="9" t="str">
        <x:v>2026-10-24</x:v>
      </x:c>
      <x:c r="AP495" s="11" t="str">
        <x:f>HYPERLINK("https://www.pricecharting.com/search-products?q=Return+to+Zork+pc-fx&amp;type=prices","PriceCharting")</x:f>
        <x:v>PriceCharting</x:v>
      </x:c>
      <x:c r="AQ495" s="9"/>
      <x:c r="AR495" s="9"/>
      <x:c r="AS495" s="9"/>
      <x:c r="AT495" s="9"/>
      <x:c r="AU495" s="9"/>
      <x:c r="AV495" s="9"/>
      <x:c r="AW495" s="9"/>
      <x:c r="AX495" s="9"/>
      <x:c r="AY495" s="9"/>
      <x:c r="AZ495" s="9" t="str">
        <x:v>3.2</x:v>
      </x:c>
      <x:c r="BA495" s="11" t="str">
        <x:f>HYPERLINK("https://www.mobygames.com/game/pc-fx/return-to-zork","MobyGames")</x:f>
        <x:v>MobyGames</x:v>
      </x:c>
      <x:c r="BB495" s="9"/>
      <x:c r="BC495" s="9"/>
      <x:c r="BD495" s="9"/>
      <x:c r="BE495" s="11" t="str">
        <x:f>HYPERLINK("https://en.wikipedia.org/wiki/Return_to_Zork","Wikipedia")</x:f>
        <x:v>Wikipedia</x:v>
      </x:c>
      <x:c r="BF495" s="11" t="str">
        <x:f>HYPERLINK("https://backloggd.com/search/games/Return%20to%20Zork/","Backloggd")</x:f>
        <x:v>Backloggd</x:v>
      </x:c>
      <x:c r="BG495" s="9"/>
      <x:c r="BH495" s="9"/>
      <x:c r="BI495" s="12" t="str">
        <x:v>No</x:v>
      </x:c>
      <x:c r="BJ495" s="12" t="str"/>
      <x:c r="BK495" s="12" t="str">
        <x:v>No</x:v>
      </x:c>
      <x:c r="BL495" s="12" t="str"/>
      <x:c r="BM495" s="12" t="str"/>
      <x:c r="BN495" s="12" t="str"/>
      <x:c r="BO495" s="12" t="str"/>
      <x:c r="BP495" s="12" t="str"/>
      <x:c r="BQ495" s="12" t="str"/>
    </x:row>
    <x:row r="496">
      <x:c r="A496" s="9" t="str">
        <x:v>pcfx-6</x:v>
      </x:c>
      <x:c r="B496" s="9" t="str">
        <x:v>jb-harold-blue-chicago-blues</x:v>
      </x:c>
      <x:c r="C496" s="9" t="str">
        <x:v>NEC PC-FX</x:v>
      </x:c>
      <x:c r="D496" s="9" t="str">
        <x:v>J.B. Harold Blue Chicago Blues</x:v>
      </x:c>
      <x:c r="E496" s="9" t="str">
        <x:v>Blue Chicago Blues</x:v>
      </x:c>
      <x:c r="F496" s="9" t="str">
        <x:v>Riverhillsoft</x:v>
      </x:c>
      <x:c r="G496" s="9" t="str">
        <x:v>NEC Home Electronics (JP)</x:v>
      </x:c>
      <x:c r="H496" s="9" t="n">
        <x:v>1996</x:v>
      </x:c>
      <x:c r="I496" s="9" t="str">
        <x:v>No</x:v>
      </x:c>
      <x:c r="J496" s="9" t="str">
        <x:v>Yes</x:v>
      </x:c>
      <x:c r="K496" s="9" t="str">
        <x:v>No</x:v>
      </x:c>
      <x:c r="L496" s="9" t="str">
        <x:v>No</x:v>
      </x:c>
      <x:c r="M496" s="9" t="str">
        <x:v>Detective adventure</x:v>
      </x:c>
      <x:c r="N496" s="9" t="str">
        <x:v>Live-action</x:v>
      </x:c>
      <x:c r="O496" s="9" t="n">
        <x:v>8</x:v>
      </x:c>
      <x:c r="P496" s="9" t="str">
        <x:v>Interactive movie</x:v>
      </x:c>
      <x:c r="Q496" s="9" t="str">
        <x:v>Released</x:v>
      </x:c>
      <x:c r="R496" s="9" t="str">
        <x:v>Original production; first on Pioneer LaserActive (1995)</x:v>
      </x:c>
      <x:c r="S496" s="9" t="str">
        <x:v>LaserActive (JP/US), Windows, 3DO, Saturn, PlayStation</x:v>
      </x:c>
      <x:c r="T496" s="9" t="str">
        <x:v>American actors filmed for Riverhillsoft — names verify</x:v>
      </x:c>
      <x:c r="U496" s="9" t="n">
        <x:v>1</x:v>
      </x:c>
      <x:c r="V496" s="9" t="str">
        <x:v>Yes</x:v>
      </x:c>
      <x:c r="W496" s="9" t="str">
        <x:v>PC-FX pad; save uses internal backup RAM (or FX-BMP backup card) — verify</x:v>
      </x:c>
      <x:c r="X496" s="9" t="str">
        <x:v>Low</x:v>
      </x:c>
      <x:c r="Y496" s="9" t="str"/>
      <x:c r="Z496" s="9" t="str">
        <x:v>6–10 hr (prologue + four chapters)</x:v>
      </x:c>
      <x:c r="AA496" s="9" t="str">
        <x:v>Riverhill's hard-boiled finale to the J.B. Harold murder mysteries, a live-action noir shot as a full FMV detective story.</x:v>
      </x:c>
      <x:c r="AB496" s="9" t="str">
        <x:v>None known</x:v>
      </x:c>
      <x:c r="AC496" s="9" t="str">
        <x:v>Live-action FMV via Motion JPEG decoded by the HuC6271 'Rainbow' chip (up to 30 fps) — window size verify</x:v>
      </x:c>
      <x:c r="AD496" s="9" t="str">
        <x:v>Moderate; questioning and evidence logic</x:v>
      </x:c>
      <x:c r="AE496" s="9" t="str">
        <x:v>Single solution (verify)</x:v>
      </x:c>
      <x:c r="AF496" s="9" t="str">
        <x:v>Fifth and final J.B. Harold game; a precursor to Hotel Dusk-style detective adventures.</x:v>
      </x:c>
      <x:c r="AG496" s="9" t="str">
        <x:v>Single Japanese release; no known reprint — verify</x:v>
      </x:c>
      <x:c r="AH496" s="9" t="str">
        <x:v>No</x:v>
      </x:c>
      <x:c r="AI496" s="9" t="str">
        <x:v>Import</x:v>
      </x:c>
      <x:c r="AJ496" s="9" t="str">
        <x:v>Original PC-FX hardware (Japanese import), or Mednafen / RetroArch Beetle PC-FX with the pcfx.rom BIOS; no PC-FX translation (partial English patch exists for the Saturn version)</x:v>
      </x:c>
      <x:c r="AK496" s="9" t="str">
        <x:v>PC-FX version likely carries Japanese-dialogue video, like the Saturn release (verify). Needs Japanese to play. A fan patch exists for the Saturn version (Arjak, English video from the Windows release, partial); none for PC-FX. English originals: LaserActive and Windows.</x:v>
      </x:c>
      <x:c r="AL496" s="10"/>
      <x:c r="AM496" s="10"/>
      <x:c r="AN496" s="10"/>
      <x:c r="AO496" s="9"/>
      <x:c r="AP496" s="11" t="str">
        <x:f>HYPERLINK("https://www.pricecharting.com/game/pc-fx/jb-harold-blue-chicago-blues","PriceCharting")</x:f>
        <x:v>PriceCharting</x:v>
      </x:c>
      <x:c r="AQ496" s="9"/>
      <x:c r="AR496" s="9"/>
      <x:c r="AS496" s="9"/>
      <x:c r="AT496" s="9"/>
      <x:c r="AU496" s="9"/>
      <x:c r="AV496" s="9"/>
      <x:c r="AW496" s="9"/>
      <x:c r="AX496" s="9"/>
      <x:c r="AY496" s="9"/>
      <x:c r="AZ496" s="9" t="str">
        <x:v>4.4</x:v>
      </x:c>
      <x:c r="BA496" s="11" t="str">
        <x:f>HYPERLINK("https://www.mobygames.com/game/pc-fx/jb-harold-blue-chicago-blues","MobyGames")</x:f>
        <x:v>MobyGames</x:v>
      </x:c>
      <x:c r="BB496" s="9"/>
      <x:c r="BC496" s="9"/>
      <x:c r="BD496" s="9"/>
      <x:c r="BE496" s="9"/>
      <x:c r="BF496" s="11" t="str">
        <x:f>HYPERLINK("https://backloggd.com/search/games/J.B.%20Harold%20Blue%20Chicago%20Blues/","Backloggd")</x:f>
        <x:v>Backloggd</x:v>
      </x:c>
      <x:c r="BG496" s="9"/>
      <x:c r="BH496" s="9"/>
      <x:c r="BI496" s="12" t="str">
        <x:v>No</x:v>
      </x:c>
      <x:c r="BJ496" s="12" t="str"/>
      <x:c r="BK496" s="12" t="str">
        <x:v>No</x:v>
      </x:c>
      <x:c r="BL496" s="12" t="str"/>
      <x:c r="BM496" s="12" t="str"/>
      <x:c r="BN496" s="12" t="str"/>
      <x:c r="BO496" s="12" t="str"/>
      <x:c r="BP496" s="12" t="str"/>
      <x:c r="BQ496" s="12" t="str"/>
    </x:row>
    <x:row r="497">
      <x:c r="A497" s="9" t="str">
        <x:v>pcfx-7</x:v>
      </x:c>
      <x:c r="B497" s="9" t="str">
        <x:v>last-imperial-prince</x:v>
      </x:c>
      <x:c r="C497" s="9" t="str">
        <x:v>NEC PC-FX</x:v>
      </x:c>
      <x:c r="D497" s="9" t="str">
        <x:v>Last Imperial Prince</x:v>
      </x:c>
      <x:c r="E497" s="9" t="str"/>
      <x:c r="F497" s="9" t="str">
        <x:v>Nihon Application</x:v>
      </x:c>
      <x:c r="G497" s="9" t="str">
        <x:v>NEC Home Electronics (JP)</x:v>
      </x:c>
      <x:c r="H497" s="9" t="n">
        <x:v>1997</x:v>
      </x:c>
      <x:c r="I497" s="9" t="str">
        <x:v>No</x:v>
      </x:c>
      <x:c r="J497" s="9" t="str">
        <x:v>Yes</x:v>
      </x:c>
      <x:c r="K497" s="9" t="str">
        <x:v>No</x:v>
      </x:c>
      <x:c r="L497" s="9" t="str">
        <x:v>No</x:v>
      </x:c>
      <x:c r="M497" s="9" t="str">
        <x:v>Action RPG (side view)</x:v>
      </x:c>
      <x:c r="N497" s="9" t="str">
        <x:v>Animated</x:v>
      </x:c>
      <x:c r="O497" s="9" t="n">
        <x:v>3</x:v>
      </x:c>
      <x:c r="P497" s="9" t="str">
        <x:v>Cutscenes only</x:v>
      </x:c>
      <x:c r="Q497" s="9" t="str">
        <x:v>Released</x:v>
      </x:c>
      <x:c r="R497" s="9" t="str">
        <x:v>Original production</x:v>
      </x:c>
      <x:c r="S497" s="9" t="str">
        <x:v>None</x:v>
      </x:c>
      <x:c r="T497" s="9" t="str">
        <x:v>—</x:v>
      </x:c>
      <x:c r="U497" s="9" t="n">
        <x:v>1</x:v>
      </x:c>
      <x:c r="V497" s="9" t="str">
        <x:v>Yes</x:v>
      </x:c>
      <x:c r="W497" s="9" t="str">
        <x:v>PC-FX pad; save uses internal backup RAM (or FX-BMP backup card) — verify</x:v>
      </x:c>
      <x:c r="X497" s="9" t="str">
        <x:v>Low</x:v>
      </x:c>
      <x:c r="Y497" s="9" t="str"/>
      <x:c r="Z497" s="9" t="str">
        <x:v>10–20 hr — verify</x:v>
      </x:c>
      <x:c r="AA497" s="9" t="str">
        <x:v>A late, obscure PC-FX fantasy action RPG with anime cutscenes, one of the console's least-documented games.</x:v>
      </x:c>
      <x:c r="AB497" s="9" t="str">
        <x:v>None known</x:v>
      </x:c>
      <x:c r="AC497" s="9" t="str">
        <x:v>Anime cutscenes via Motion JPEG decoded by the HuC6271 'Rainbow' chip (up to 30 fps) (verify extent)</x:v>
      </x:c>
      <x:c r="AD497" s="9" t="str">
        <x:v>Unknown — verify</x:v>
      </x:c>
      <x:c r="AE497" s="9" t="str">
        <x:v>Unknown — verify</x:v>
      </x:c>
      <x:c r="AF497" s="9" t="str">
        <x:v>Released 14 March 1997, late in the PC-FX's life.</x:v>
      </x:c>
      <x:c r="AG497" s="9" t="str">
        <x:v>Single Japanese release; no known reprint — verify</x:v>
      </x:c>
      <x:c r="AH497" s="9" t="str">
        <x:v>No</x:v>
      </x:c>
      <x:c r="AI497" s="9" t="str">
        <x:v>Import</x:v>
      </x:c>
      <x:c r="AJ497" s="9" t="str">
        <x:v>Original PC-FX hardware (Japanese import), or Mednafen / RetroArch Beetle PC-FX with the pcfx.rom BIOS; no fan translation known</x:v>
      </x:c>
      <x:c r="AK497" s="9" t="str">
        <x:v>Very little documentation in English; genre from MobyGames-style listings (action RPG, side view). Needs Japanese reading for story and menus. No fan translation known.</x:v>
      </x:c>
      <x:c r="AL497" s="10" t="n">
        <x:v>70</x:v>
      </x:c>
      <x:c r="AM497" s="10" t="n">
        <x:v>95.9</x:v>
      </x:c>
      <x:c r="AN497" s="10" t="n">
        <x:v>192</x:v>
      </x:c>
      <x:c r="AO497" s="9" t="str">
        <x:v>2026-10-24</x:v>
      </x:c>
      <x:c r="AP497" s="11" t="str">
        <x:f>HYPERLINK("https://www.pricecharting.com/search-products?q=Last+Imperial+Prince+pc-fx&amp;type=prices","PriceCharting")</x:f>
        <x:v>PriceCharting</x:v>
      </x:c>
      <x:c r="AQ497" s="9"/>
      <x:c r="AR497" s="9"/>
      <x:c r="AS497" s="9"/>
      <x:c r="AT497" s="9"/>
      <x:c r="AU497" s="9"/>
      <x:c r="AV497" s="9"/>
      <x:c r="AW497" s="9"/>
      <x:c r="AX497" s="9"/>
      <x:c r="AY497" s="9"/>
      <x:c r="AZ497" s="9" t="str">
        <x:v>2.9</x:v>
      </x:c>
      <x:c r="BA497" s="11" t="str">
        <x:f>HYPERLINK("https://www.mobygames.com/game/pc-fx/last-imperial-prince","MobyGames")</x:f>
        <x:v>MobyGames</x:v>
      </x:c>
      <x:c r="BB497" s="9"/>
      <x:c r="BC497" s="9"/>
      <x:c r="BD497" s="9"/>
      <x:c r="BE497" s="9"/>
      <x:c r="BF497" s="11" t="str">
        <x:f>HYPERLINK("https://backloggd.com/search/games/Last%20Imperial%20Prince/","Backloggd")</x:f>
        <x:v>Backloggd</x:v>
      </x:c>
      <x:c r="BG497" s="9"/>
      <x:c r="BH497" s="9"/>
      <x:c r="BI497" s="12" t="str">
        <x:v>No</x:v>
      </x:c>
      <x:c r="BJ497" s="12" t="str"/>
      <x:c r="BK497" s="12" t="str">
        <x:v>No</x:v>
      </x:c>
      <x:c r="BL497" s="12" t="str"/>
      <x:c r="BM497" s="12" t="str"/>
      <x:c r="BN497" s="12" t="str"/>
      <x:c r="BO497" s="12" t="str"/>
      <x:c r="BP497" s="12" t="str"/>
      <x:c r="BQ497" s="12" t="str"/>
    </x:row>
    <x:row r="498">
      <x:c r="A498" s="9" t="str">
        <x:v>pcfx-8</x:v>
      </x:c>
      <x:c r="B498" s="9" t="str">
        <x:v>der-langrisser</x:v>
      </x:c>
      <x:c r="C498" s="9" t="str">
        <x:v>NEC PC-FX</x:v>
      </x:c>
      <x:c r="D498" s="9" t="str">
        <x:v>Der Langrisser FX</x:v>
      </x:c>
      <x:c r="E498" s="9" t="str"/>
      <x:c r="F498" s="9" t="str">
        <x:v>Crosstalk, NCS (Masaya)</x:v>
      </x:c>
      <x:c r="G498" s="9" t="str">
        <x:v>NEC Home Electronics (JP)</x:v>
      </x:c>
      <x:c r="H498" s="9" t="n">
        <x:v>1996</x:v>
      </x:c>
      <x:c r="I498" s="9" t="str">
        <x:v>No</x:v>
      </x:c>
      <x:c r="J498" s="9" t="str">
        <x:v>Yes</x:v>
      </x:c>
      <x:c r="K498" s="9" t="str">
        <x:v>No</x:v>
      </x:c>
      <x:c r="L498" s="9" t="str">
        <x:v>No</x:v>
      </x:c>
      <x:c r="M498" s="9" t="str">
        <x:v>Tactical RPG</x:v>
      </x:c>
      <x:c r="N498" s="9" t="str">
        <x:v>Animated</x:v>
      </x:c>
      <x:c r="O498" s="9" t="n">
        <x:v>2</x:v>
      </x:c>
      <x:c r="P498" s="9" t="str">
        <x:v>Cutscenes only</x:v>
      </x:c>
      <x:c r="Q498" s="9" t="str">
        <x:v>Released</x:v>
      </x:c>
      <x:c r="R498" s="9" t="str">
        <x:v>Port/upgrade of Der Langrisser (Super Famicom, 1995), itself a remake of Langrisser II</x:v>
      </x:c>
      <x:c r="S498" s="9" t="str">
        <x:v>Super Famicom (Der Langrisser); Windows (1998, verify); Langrisser I &amp; II remake (Switch/PS4/PC, 2019) is a separate production</x:v>
      </x:c>
      <x:c r="T498" s="9" t="str">
        <x:v>Japanese voice cast — verify; art by Satoshi Urushihara</x:v>
      </x:c>
      <x:c r="U498" s="9" t="n">
        <x:v>1</x:v>
      </x:c>
      <x:c r="V498" s="9" t="str">
        <x:v>Yes</x:v>
      </x:c>
      <x:c r="W498" s="9" t="str">
        <x:v>PC-FX pad; save uses internal backup RAM (or FX-BMP backup card) — verify</x:v>
      </x:c>
      <x:c r="X498" s="9" t="str">
        <x:v>Low</x:v>
      </x:c>
      <x:c r="Y498" s="9" t="str"/>
      <x:c r="Z498" s="9" t="str">
        <x:v>40+ hr (70+ scenarios across routes)</x:v>
      </x:c>
      <x:c r="AA498" s="9" t="str">
        <x:v>Langrisser II's branching war on NEC's video machine: Urushihara art, spoken dialogue and full-screen anime FMV between battles.</x:v>
      </x:c>
      <x:c r="AB498" s="9" t="str">
        <x:v>None known</x:v>
      </x:c>
      <x:c r="AC498" s="9" t="str">
        <x:v>Full-screen anime FMV cutscenes (a few per route) via Motion JPEG decoded by the HuC6271 'Rainbow' chip (up to 30 fps)</x:v>
      </x:c>
      <x:c r="AD498" s="9" t="str">
        <x:v>Moderate–hard tactical battles</x:v>
      </x:c>
      <x:c r="AE498" s="9" t="str">
        <x:v>Multiple routes/endings (Light, Imperial, Dark, Independent — verify)</x:v>
      </x:c>
      <x:c r="AF498" s="9" t="str">
        <x:v>Adds generous spoken dialogue over the cartridge version; routes run about 21 battles each.</x:v>
      </x:c>
      <x:c r="AG498" s="9" t="str">
        <x:v>Single Japanese release; no known reprint — verify</x:v>
      </x:c>
      <x:c r="AH498" s="9" t="str">
        <x:v>No</x:v>
      </x:c>
      <x:c r="AI498" s="9" t="str">
        <x:v>Expensive</x:v>
      </x:c>
      <x:c r="AJ498" s="9" t="str">
        <x:v>Original PC-FX hardware (Japanese import), or Mednafen / RetroArch Beetle PC-FX with the pcfx.rom BIOS; no fan translation known</x:v>
      </x:c>
      <x:c r="AK498" s="9" t="str">
        <x:v>Strategy menus need Japanese; English players usually play the SFC fan translation or the 2019 remake. No PC-FX English patch known.</x:v>
      </x:c>
      <x:c r="AL498" s="10" t="n">
        <x:v>100.36</x:v>
      </x:c>
      <x:c r="AM498" s="10" t="n">
        <x:v>156.95</x:v>
      </x:c>
      <x:c r="AN498" s="10" t="n">
        <x:v>314</x:v>
      </x:c>
      <x:c r="AO498" s="9" t="str">
        <x:v>2026-10-24</x:v>
      </x:c>
      <x:c r="AP498" s="11" t="str">
        <x:f>HYPERLINK("https://www.pricecharting.com/search-products?q=Der+Langrisser+FX+pc-fx&amp;type=prices","PriceCharting")</x:f>
        <x:v>PriceCharting</x:v>
      </x:c>
      <x:c r="AQ498" s="9"/>
      <x:c r="AR498" s="9"/>
      <x:c r="AS498" s="9"/>
      <x:c r="AT498" s="9"/>
      <x:c r="AU498" s="9"/>
      <x:c r="AV498" s="9"/>
      <x:c r="AW498" s="9"/>
      <x:c r="AX498" s="9"/>
      <x:c r="AY498" s="9"/>
      <x:c r="AZ498" s="9"/>
      <x:c r="BA498" s="11" t="str">
        <x:f>HYPERLINK("https://www.mobygames.com/search/?q=Der+Langrisser+FX","MobyGames")</x:f>
        <x:v>MobyGames</x:v>
      </x:c>
      <x:c r="BB498" s="9"/>
      <x:c r="BC498" s="9"/>
      <x:c r="BD498" s="9"/>
      <x:c r="BE498" s="9"/>
      <x:c r="BF498" s="11" t="str">
        <x:f>HYPERLINK("https://backloggd.com/search/games/Der%20Langrisser%20FX/","Backloggd")</x:f>
        <x:v>Backloggd</x:v>
      </x:c>
      <x:c r="BG498" s="9"/>
      <x:c r="BH498" s="9"/>
      <x:c r="BI498" s="12" t="str">
        <x:v>No</x:v>
      </x:c>
      <x:c r="BJ498" s="12" t="str"/>
      <x:c r="BK498" s="12" t="str">
        <x:v>No</x:v>
      </x:c>
      <x:c r="BL498" s="12" t="str"/>
      <x:c r="BM498" s="12" t="str"/>
      <x:c r="BN498" s="12" t="str"/>
      <x:c r="BO498" s="12" t="str"/>
      <x:c r="BP498" s="12" t="str"/>
      <x:c r="BQ498" s="12" t="str"/>
    </x:row>
    <x:row r="499">
      <x:c r="A499" s="9" t="str">
        <x:v>pcfx-9</x:v>
      </x:c>
      <x:c r="B499" s="9" t="str">
        <x:v>aa-megami-sama</x:v>
      </x:c>
      <x:c r="C499" s="9" t="str">
        <x:v>NEC PC-FX</x:v>
      </x:c>
      <x:c r="D499" s="9" t="str">
        <x:v>Aa! Megami-sama</x:v>
      </x:c>
      <x:c r="E499" s="9" t="str">
        <x:v>Oh My Goddess!</x:v>
      </x:c>
      <x:c r="F499" s="9" t="str">
        <x:v>HuneX</x:v>
      </x:c>
      <x:c r="G499" s="9" t="str">
        <x:v>NEC Home Electronics (JP)</x:v>
      </x:c>
      <x:c r="H499" s="9" t="n">
        <x:v>1997</x:v>
      </x:c>
      <x:c r="I499" s="9" t="str">
        <x:v>No</x:v>
      </x:c>
      <x:c r="J499" s="9" t="str">
        <x:v>Yes</x:v>
      </x:c>
      <x:c r="K499" s="9" t="str">
        <x:v>No</x:v>
      </x:c>
      <x:c r="L499" s="9" t="str">
        <x:v>No</x:v>
      </x:c>
      <x:c r="M499" s="9" t="str">
        <x:v>Adventure / visual novel</x:v>
      </x:c>
      <x:c r="N499" s="9" t="str">
        <x:v>Animated</x:v>
      </x:c>
      <x:c r="O499" s="9" t="n">
        <x:v>4</x:v>
      </x:c>
      <x:c r="P499" s="9" t="str">
        <x:v>FMV adventure</x:v>
      </x:c>
      <x:c r="Q499" s="9" t="str">
        <x:v>Released</x:v>
      </x:c>
      <x:c r="R499" s="9" t="str">
        <x:v>Anime/manga licence (Ah! My Goddess, Kōsuke Fujishima)</x:v>
      </x:c>
      <x:c r="S499" s="9" t="str">
        <x:v>None</x:v>
      </x:c>
      <x:c r="T499" s="9" t="str">
        <x:v>Anime voice cast likely (Kikuko Inoue as Belldandy — verify)</x:v>
      </x:c>
      <x:c r="U499" s="9" t="n">
        <x:v>1</x:v>
      </x:c>
      <x:c r="V499" s="9" t="str">
        <x:v>Yes</x:v>
      </x:c>
      <x:c r="W499" s="9" t="str">
        <x:v>PC-FX pad; save uses internal backup RAM (or FX-BMP backup card) — verify</x:v>
      </x:c>
      <x:c r="X499" s="9" t="str">
        <x:v>Med</x:v>
      </x:c>
      <x:c r="Y499" s="9" t="str">
        <x:v>Licensed Ah! My Goddess characters, voices and possibly anime theme music</x:v>
      </x:c>
      <x:c r="Z499" s="9" t="str">
        <x:v>3–6 hr — verify</x:v>
      </x:c>
      <x:c r="AA499" s="9" t="str">
        <x:v>Belldandy and Keiichi in a first-person adventure on the console built to play anime, with animated scenes from the OVA's world.</x:v>
      </x:c>
      <x:c r="AB499" s="9" t="str">
        <x:v>None known</x:v>
      </x:c>
      <x:c r="AC499" s="9" t="str">
        <x:v>Anime sequences via Motion JPEG decoded by the HuC6271 'Rainbow' chip (up to 30 fps) — amount verify</x:v>
      </x:c>
      <x:c r="AD499" s="9" t="str">
        <x:v>Unknown — verify</x:v>
      </x:c>
      <x:c r="AE499" s="9" t="str">
        <x:v>Unknown — verify</x:v>
      </x:c>
      <x:c r="AF499" s="9" t="str">
        <x:v>Released 12 December 1997, one of the last PC-FX licence games.</x:v>
      </x:c>
      <x:c r="AG499" s="9" t="str">
        <x:v>Single Japanese release; no known reprint — verify</x:v>
      </x:c>
      <x:c r="AH499" s="9" t="str">
        <x:v>No</x:v>
      </x:c>
      <x:c r="AI499" s="9" t="str">
        <x:v>Import</x:v>
      </x:c>
      <x:c r="AJ499" s="9" t="str">
        <x:v>Original PC-FX hardware (Japanese import), or Mednafen / RetroArch Beetle PC-FX with the pcfx.rom BIOS; no fan translation known</x:v>
      </x:c>
      <x:c r="AK499" s="9" t="str">
        <x:v>Text-driven; needs Japanese reading. No fan translation known. Amount of streamed animation needs checking.</x:v>
      </x:c>
      <x:c r="AL499" s="10" t="n">
        <x:v>24.88</x:v>
      </x:c>
      <x:c r="AM499" s="10" t="n">
        <x:v>36.32</x:v>
      </x:c>
      <x:c r="AN499" s="10" t="n">
        <x:v>73</x:v>
      </x:c>
      <x:c r="AO499" s="9" t="str">
        <x:v>2026-10-24</x:v>
      </x:c>
      <x:c r="AP499" s="11" t="str">
        <x:f>HYPERLINK("https://www.pricecharting.com/search-products?q=Aa%21+Megami-sama+pc-fx&amp;type=prices","PriceCharting")</x:f>
        <x:v>PriceCharting</x:v>
      </x:c>
      <x:c r="AQ499" s="9"/>
      <x:c r="AR499" s="9"/>
      <x:c r="AS499" s="9"/>
      <x:c r="AT499" s="9"/>
      <x:c r="AU499" s="9"/>
      <x:c r="AV499" s="9"/>
      <x:c r="AW499" s="9"/>
      <x:c r="AX499" s="9"/>
      <x:c r="AY499" s="9"/>
      <x:c r="AZ499" s="9"/>
      <x:c r="BA499" s="11" t="str">
        <x:f>HYPERLINK("https://www.mobygames.com/search/?q=Aa%21+Megami-sama","MobyGames")</x:f>
        <x:v>MobyGames</x:v>
      </x:c>
      <x:c r="BB499" s="9"/>
      <x:c r="BC499" s="9"/>
      <x:c r="BD499" s="9"/>
      <x:c r="BE499" s="9"/>
      <x:c r="BF499" s="11" t="str">
        <x:f>HYPERLINK("https://backloggd.com/search/games/Aa%21%20Megami-sama/","Backloggd")</x:f>
        <x:v>Backloggd</x:v>
      </x:c>
      <x:c r="BG499" s="9"/>
      <x:c r="BH499" s="9"/>
      <x:c r="BI499" s="12" t="str">
        <x:v>No</x:v>
      </x:c>
      <x:c r="BJ499" s="12" t="str"/>
      <x:c r="BK499" s="12" t="str">
        <x:v>No</x:v>
      </x:c>
      <x:c r="BL499" s="12" t="str"/>
      <x:c r="BM499" s="12" t="str"/>
      <x:c r="BN499" s="12" t="str"/>
      <x:c r="BO499" s="12" t="str"/>
      <x:c r="BP499" s="12" t="str"/>
      <x:c r="BQ499" s="12" t="str"/>
    </x:row>
    <x:row r="500">
      <x:c r="A500" s="9" t="str">
        <x:v>pcfx-10</x:v>
      </x:c>
      <x:c r="B500" s="9" t="str">
        <x:v>tenchi-muyo-ryo-oki-fx</x:v>
      </x:c>
      <x:c r="C500" s="9" t="str">
        <x:v>NEC PC-FX</x:v>
      </x:c>
      <x:c r="D500" s="9" t="str">
        <x:v>Tenchi Muyō! Ryō-ōki FX</x:v>
      </x:c>
      <x:c r="E500" s="9" t="str">
        <x:v>Tenchi Muyo! Ryo-Ohki FX</x:v>
      </x:c>
      <x:c r="F500" s="9" t="str">
        <x:v>AIC Spirits, TamTam</x:v>
      </x:c>
      <x:c r="G500" s="9" t="str">
        <x:v>NEC Interchannel (JP)</x:v>
      </x:c>
      <x:c r="H500" s="9" t="n">
        <x:v>1996</x:v>
      </x:c>
      <x:c r="I500" s="9" t="str">
        <x:v>No</x:v>
      </x:c>
      <x:c r="J500" s="9" t="str">
        <x:v>Yes</x:v>
      </x:c>
      <x:c r="K500" s="9" t="str">
        <x:v>No</x:v>
      </x:c>
      <x:c r="L500" s="9" t="str">
        <x:v>No</x:v>
      </x:c>
      <x:c r="M500" s="9" t="str">
        <x:v>Adventure</x:v>
      </x:c>
      <x:c r="N500" s="9" t="str">
        <x:v>Animated</x:v>
      </x:c>
      <x:c r="O500" s="9" t="n">
        <x:v>4</x:v>
      </x:c>
      <x:c r="P500" s="9" t="str">
        <x:v>FMV adventure</x:v>
      </x:c>
      <x:c r="Q500" s="9" t="str">
        <x:v>Released</x:v>
      </x:c>
      <x:c r="R500" s="9" t="str">
        <x:v>Anime licence (Tenchi Muyo!, AIC)</x:v>
      </x:c>
      <x:c r="S500" s="9" t="str">
        <x:v>None</x:v>
      </x:c>
      <x:c r="T500" s="9" t="str">
        <x:v>Anime voice cast likely — verify</x:v>
      </x:c>
      <x:c r="U500" s="9" t="n">
        <x:v>1</x:v>
      </x:c>
      <x:c r="V500" s="9" t="str">
        <x:v>Yes</x:v>
      </x:c>
      <x:c r="W500" s="9" t="str">
        <x:v>PC-FX pad; save uses internal backup RAM (or FX-BMP backup card) — verify</x:v>
      </x:c>
      <x:c r="X500" s="9" t="str">
        <x:v>Med</x:v>
      </x:c>
      <x:c r="Y500" s="9" t="str">
        <x:v>Licensed Tenchi Muyo! anime characters, voices and music</x:v>
      </x:c>
      <x:c r="Z500" s="9" t="str">
        <x:v>Unknown — verify</x:v>
      </x:c>
      <x:c r="AA500" s="9" t="str">
        <x:v>AIC's own studio-made Tenchi Muyo! game, with new animation from the anime's makers on NEC's video console.</x:v>
      </x:c>
      <x:c r="AB500" s="9" t="str">
        <x:v>None known</x:v>
      </x:c>
      <x:c r="AC500" s="9" t="str">
        <x:v>Anime sequences via Motion JPEG decoded by the HuC6271 'Rainbow' chip (up to 30 fps) — amount verify</x:v>
      </x:c>
      <x:c r="AD500" s="9" t="str">
        <x:v>Unknown — verify</x:v>
      </x:c>
      <x:c r="AE500" s="9" t="str">
        <x:v>Unknown — verify</x:v>
      </x:c>
      <x:c r="AF500" s="9" t="str">
        <x:v>Developed by AIC Spirits, an arm of the studio behind the Tenchi Muyo! anime.</x:v>
      </x:c>
      <x:c r="AG500" s="9" t="str">
        <x:v>Single Japanese release; no known reprint — verify</x:v>
      </x:c>
      <x:c r="AH500" s="9" t="str">
        <x:v>No</x:v>
      </x:c>
      <x:c r="AI500" s="9" t="str">
        <x:v>Import</x:v>
      </x:c>
      <x:c r="AJ500" s="9" t="str">
        <x:v>Original PC-FX hardware (Japanese import), or Mednafen / RetroArch Beetle PC-FX with the pcfx.rom BIOS; no fan translation known</x:v>
      </x:c>
      <x:c r="AK500" s="9" t="str">
        <x:v>Needs Japanese reading. No fan translation known. Gameplay specifics unconfirmed.</x:v>
      </x:c>
      <x:c r="AL500" s="10" t="n">
        <x:v>23.4</x:v>
      </x:c>
      <x:c r="AM500" s="10" t="n">
        <x:v>64.99</x:v>
      </x:c>
      <x:c r="AN500" s="10" t="n">
        <x:v>130</x:v>
      </x:c>
      <x:c r="AO500" s="9" t="str">
        <x:v>2026-10-24</x:v>
      </x:c>
      <x:c r="AP500" s="11" t="str">
        <x:f>HYPERLINK("https://www.pricecharting.com/search-products?q=Tenchi+Muy%C5%8D%21+Ry%C5%8D-%C5%8Dki+FX+pc-fx&amp;type=prices","PriceCharting")</x:f>
        <x:v>PriceCharting</x:v>
      </x:c>
      <x:c r="AQ500" s="9"/>
      <x:c r="AR500" s="9"/>
      <x:c r="AS500" s="9"/>
      <x:c r="AT500" s="9"/>
      <x:c r="AU500" s="9"/>
      <x:c r="AV500" s="9"/>
      <x:c r="AW500" s="9"/>
      <x:c r="AX500" s="9"/>
      <x:c r="AY500" s="9"/>
      <x:c r="AZ500" s="9"/>
      <x:c r="BA500" s="11" t="str">
        <x:f>HYPERLINK("https://www.mobygames.com/search/?q=Tenchi+Muy%C5%8D%21+Ry%C5%8D-%C5%8Dki+FX","MobyGames")</x:f>
        <x:v>MobyGames</x:v>
      </x:c>
      <x:c r="BB500" s="9"/>
      <x:c r="BC500" s="9"/>
      <x:c r="BD500" s="9"/>
      <x:c r="BE500" s="9"/>
      <x:c r="BF500" s="11" t="str">
        <x:f>HYPERLINK("https://backloggd.com/search/games/Tenchi%20Muy%C5%8D%21%20Ry%C5%8D-%C5%8Dki%20FX/","Backloggd")</x:f>
        <x:v>Backloggd</x:v>
      </x:c>
      <x:c r="BG500" s="9"/>
      <x:c r="BH500" s="9"/>
      <x:c r="BI500" s="12" t="str">
        <x:v>No</x:v>
      </x:c>
      <x:c r="BJ500" s="12" t="str"/>
      <x:c r="BK500" s="12" t="str">
        <x:v>No</x:v>
      </x:c>
      <x:c r="BL500" s="12" t="str"/>
      <x:c r="BM500" s="12" t="str"/>
      <x:c r="BN500" s="12" t="str"/>
      <x:c r="BO500" s="12" t="str"/>
      <x:c r="BP500" s="12" t="str"/>
      <x:c r="BQ500" s="12" t="str"/>
    </x:row>
    <x:row r="501">
      <x:c r="A501" s="9" t="str">
        <x:v>pcfx-11</x:v>
      </x:c>
      <x:c r="B501" s="9" t="str">
        <x:v>ginga-ojosama-densetsu-yuna-fx</x:v>
      </x:c>
      <x:c r="C501" s="9" t="str">
        <x:v>NEC PC-FX</x:v>
      </x:c>
      <x:c r="D501" s="9" t="str">
        <x:v>Ginga Ojōsama Densetsu Yuna FX: Kanashimi no Sirene</x:v>
      </x:c>
      <x:c r="E501" s="9" t="str">
        <x:v>Galaxy Fräulein Yuna FX: Sad Siren</x:v>
      </x:c>
      <x:c r="F501" s="9" t="str">
        <x:v>Red Company, Will</x:v>
      </x:c>
      <x:c r="G501" s="9" t="str">
        <x:v>Hudson Soft (JP)</x:v>
      </x:c>
      <x:c r="H501" s="9" t="n">
        <x:v>1996</x:v>
      </x:c>
      <x:c r="I501" s="9" t="str">
        <x:v>No</x:v>
      </x:c>
      <x:c r="J501" s="9" t="str">
        <x:v>Yes</x:v>
      </x:c>
      <x:c r="K501" s="9" t="str">
        <x:v>No</x:v>
      </x:c>
      <x:c r="L501" s="9" t="str">
        <x:v>No</x:v>
      </x:c>
      <x:c r="M501" s="9" t="str">
        <x:v>Adventure / turn-based mecha battles</x:v>
      </x:c>
      <x:c r="N501" s="9" t="str">
        <x:v>Animated</x:v>
      </x:c>
      <x:c r="O501" s="9" t="n">
        <x:v>5</x:v>
      </x:c>
      <x:c r="P501" s="9" t="str">
        <x:v>FMV adventure</x:v>
      </x:c>
      <x:c r="Q501" s="9" t="str">
        <x:v>Released</x:v>
      </x:c>
      <x:c r="R501" s="9" t="str">
        <x:v>Galaxy Fräulein Yuna franchise (Hudson/Red)</x:v>
      </x:c>
      <x:c r="S501" s="9" t="str">
        <x:v>None (other Yuna games on PC Engine CD, Saturn, PlayStation)</x:v>
      </x:c>
      <x:c r="T501" s="9" t="str">
        <x:v>Yuna series voice cast — verify</x:v>
      </x:c>
      <x:c r="U501" s="9" t="n">
        <x:v>1</x:v>
      </x:c>
      <x:c r="V501" s="9" t="str">
        <x:v>Yes (requires backup RAM before play)</x:v>
      </x:c>
      <x:c r="W501" s="9" t="str">
        <x:v>PC-FX pad; save uses internal backup RAM (or FX-BMP backup card) — verify</x:v>
      </x:c>
      <x:c r="X501" s="9" t="str">
        <x:v>Med</x:v>
      </x:c>
      <x:c r="Y501" s="9" t="str">
        <x:v>Licensed Yuna anime voices and theme songs</x:v>
      </x:c>
      <x:c r="Z501" s="9" t="str">
        <x:v>Unknown — verify</x:v>
      </x:c>
      <x:c r="AA501" s="9" t="str">
        <x:v>Hudson's idol-in-space mascot gets a first-person PC-FX adventure built around full anime scenes.</x:v>
      </x:c>
      <x:c r="AB501" s="9" t="str">
        <x:v>None known</x:v>
      </x:c>
      <x:c r="AC501" s="9" t="str">
        <x:v>Anime FMV via Motion JPEG decoded by the HuC6271 'Rainbow' chip (up to 30 fps) — size verify</x:v>
      </x:c>
      <x:c r="AD501" s="9" t="str">
        <x:v>Unknown — verify</x:v>
      </x:c>
      <x:c r="AE501" s="9" t="str">
        <x:v>Unknown — verify</x:v>
      </x:c>
      <x:c r="AF501" s="9" t="str">
        <x:v>The game refuses to start without backup RAM available.</x:v>
      </x:c>
      <x:c r="AG501" s="9" t="str">
        <x:v>Single Japanese release; no known reprint — verify</x:v>
      </x:c>
      <x:c r="AH501" s="9" t="str">
        <x:v>No</x:v>
      </x:c>
      <x:c r="AI501" s="9" t="str">
        <x:v>Import</x:v>
      </x:c>
      <x:c r="AJ501" s="9" t="str">
        <x:v>Original PC-FX hardware (Japanese import), or Mednafen / RetroArch Beetle PC-FX with the pcfx.rom BIOS (enable backup RAM); no fan translation known</x:v>
      </x:c>
      <x:c r="AK501" s="9" t="str">
        <x:v>Needs Japanese reading. No fan translation known.</x:v>
      </x:c>
      <x:c r="AL501" s="10"/>
      <x:c r="AM501" s="10"/>
      <x:c r="AN501" s="10"/>
      <x:c r="AO501" s="9"/>
      <x:c r="AP501" s="11" t="str">
        <x:f>HYPERLINK("https://www.pricecharting.com/search-products?q=Ginga+Oj%C5%8Dsama+Densetsu+Yuna+FX%3A+Kanashimi+no+Sirene+pc-fx&amp;type=prices","PriceCharting")</x:f>
        <x:v>PriceCharting</x:v>
      </x:c>
      <x:c r="AQ501" s="9"/>
      <x:c r="AR501" s="9"/>
      <x:c r="AS501" s="9"/>
      <x:c r="AT501" s="9"/>
      <x:c r="AU501" s="9"/>
      <x:c r="AV501" s="9"/>
      <x:c r="AW501" s="9"/>
      <x:c r="AX501" s="9"/>
      <x:c r="AY501" s="9"/>
      <x:c r="AZ501" s="9"/>
      <x:c r="BA501" s="11" t="str">
        <x:f>HYPERLINK("https://www.mobygames.com/search/?q=Ginga+Oj%C5%8Dsama+Densetsu+Yuna+FX%3A+Kanashimi+no+Sirene","MobyGames")</x:f>
        <x:v>MobyGames</x:v>
      </x:c>
      <x:c r="BB501" s="9"/>
      <x:c r="BC501" s="9"/>
      <x:c r="BD501" s="9"/>
      <x:c r="BE501" s="9"/>
      <x:c r="BF501" s="11" t="str">
        <x:f>HYPERLINK("https://backloggd.com/search/games/Ginga%20Oj%C5%8Dsama%20Densetsu%20Yuna%20FX%3A%20Kanashimi%20no%20Sirene/","Backloggd")</x:f>
        <x:v>Backloggd</x:v>
      </x:c>
      <x:c r="BG501" s="9"/>
      <x:c r="BH501" s="9"/>
      <x:c r="BI501" s="12" t="str">
        <x:v>No</x:v>
      </x:c>
      <x:c r="BJ501" s="12" t="str"/>
      <x:c r="BK501" s="12" t="str">
        <x:v>No</x:v>
      </x:c>
      <x:c r="BL501" s="12" t="str"/>
      <x:c r="BM501" s="12" t="str"/>
      <x:c r="BN501" s="12" t="str"/>
      <x:c r="BO501" s="12" t="str"/>
      <x:c r="BP501" s="12" t="str"/>
      <x:c r="BQ501" s="12" t="str"/>
    </x:row>
    <x:row r="502">
      <x:c r="A502" s="9" t="str">
        <x:v>pcfx-12</x:v>
      </x:c>
      <x:c r="B502" s="9" t="str">
        <x:v>chojin-heiki-zeroigar</x:v>
      </x:c>
      <x:c r="C502" s="9" t="str">
        <x:v>NEC PC-FX</x:v>
      </x:c>
      <x:c r="D502" s="9" t="str">
        <x:v>Chōjin Heiki Zeroigar</x:v>
      </x:c>
      <x:c r="E502" s="9" t="str">
        <x:v>God-Fighter Zeroigar</x:v>
      </x:c>
      <x:c r="F502" s="9" t="str">
        <x:v>Fupac, Sugeiya, Winds (created by Satoshi Fujishima)</x:v>
      </x:c>
      <x:c r="G502" s="9" t="str">
        <x:v>NEC Home Electronics (JP)</x:v>
      </x:c>
      <x:c r="H502" s="9" t="n">
        <x:v>1997</x:v>
      </x:c>
      <x:c r="I502" s="9" t="str">
        <x:v>No</x:v>
      </x:c>
      <x:c r="J502" s="9" t="str">
        <x:v>Yes</x:v>
      </x:c>
      <x:c r="K502" s="9" t="str">
        <x:v>No</x:v>
      </x:c>
      <x:c r="L502" s="9" t="str">
        <x:v>No</x:v>
      </x:c>
      <x:c r="M502" s="9" t="str">
        <x:v>Vertical shoot 'em up</x:v>
      </x:c>
      <x:c r="N502" s="9" t="str">
        <x:v>Animated</x:v>
      </x:c>
      <x:c r="O502" s="9" t="n">
        <x:v>3</x:v>
      </x:c>
      <x:c r="P502" s="9" t="str">
        <x:v>Cutscenes only</x:v>
      </x:c>
      <x:c r="Q502" s="9" t="str">
        <x:v>Released</x:v>
      </x:c>
      <x:c r="R502" s="9" t="str">
        <x:v>Original production (1970s super-robot anime homage)</x:v>
      </x:c>
      <x:c r="S502" s="9" t="str">
        <x:v>None</x:v>
      </x:c>
      <x:c r="T502" s="9" t="str">
        <x:v>—</x:v>
      </x:c>
      <x:c r="U502" s="9" t="n">
        <x:v>1</x:v>
      </x:c>
      <x:c r="V502" s="9" t="str">
        <x:v>Yes</x:v>
      </x:c>
      <x:c r="W502" s="9" t="str">
        <x:v>PC-FX pad; save uses internal backup RAM (or FX-BMP backup card) — verify</x:v>
      </x:c>
      <x:c r="X502" s="9" t="str">
        <x:v>Low</x:v>
      </x:c>
      <x:c r="Y502" s="9" t="str"/>
      <x:c r="Z502" s="9" t="str">
        <x:v>45–60 min</x:v>
      </x:c>
      <x:c r="AA502" s="9" t="str">
        <x:v>The PC-FX's only shooter: a love letter to 70s super-robot anime, with FMV cutscenes and a theme song, translated by fans as God-Fighter Zeroigar.</x:v>
      </x:c>
      <x:c r="AB502" s="9" t="str">
        <x:v>None known</x:v>
      </x:c>
      <x:c r="AC502" s="9" t="str">
        <x:v>Anime FMV cutscenes via Motion JPEG decoded by the HuC6271 'Rainbow' chip (up to 30 fps); gameplay is 2D sprites</x:v>
      </x:c>
      <x:c r="AD502" s="9" t="str">
        <x:v>Moderate for the genre</x:v>
      </x:c>
      <x:c r="AE502" s="9" t="str">
        <x:v>Single ending (verify)</x:v>
      </x:c>
      <x:c r="AF502" s="9" t="str">
        <x:v>Retro Gamer picked it as one of the best PC-FX games for international players.</x:v>
      </x:c>
      <x:c r="AG502" s="9" t="str">
        <x:v>Single Japanese release; no known reprint — verify</x:v>
      </x:c>
      <x:c r="AH502" s="9" t="str">
        <x:v>No</x:v>
      </x:c>
      <x:c r="AI502" s="9" t="str">
        <x:v>Expensive</x:v>
      </x:c>
      <x:c r="AJ502" s="9" t="str">
        <x:v>Original PC-FX hardware (Japanese import), or Mednafen / RetroArch Beetle PC-FX with the pcfx.rom BIOS; English fan patch 'God-Fighter Zeroigar' (2015)</x:v>
      </x:c>
      <x:c r="AK502" s="9" t="str">
        <x:v>Gameplay needs no Japanese. English fan translation 'God-Fighter Zeroigar' released 2015. Loose price not on PriceCharting; CIB ~$488.</x:v>
      </x:c>
      <x:c r="AL502" s="10"/>
      <x:c r="AM502" s="10" t="n">
        <x:v>488.13</x:v>
      </x:c>
      <x:c r="AN502" s="10" t="n">
        <x:v>976</x:v>
      </x:c>
      <x:c r="AO502" s="9" t="str">
        <x:v>2026-10-24</x:v>
      </x:c>
      <x:c r="AP502" s="11" t="str">
        <x:f>HYPERLINK("https://www.pricecharting.com/search-products?q=Ch%C5%8Djin+Heiki+Zeroigar+pc-fx&amp;type=prices","PriceCharting")</x:f>
        <x:v>PriceCharting</x:v>
      </x:c>
      <x:c r="AQ502" s="9"/>
      <x:c r="AR502" s="9"/>
      <x:c r="AS502" s="9"/>
      <x:c r="AT502" s="9"/>
      <x:c r="AU502" s="9"/>
      <x:c r="AV502" s="9"/>
      <x:c r="AW502" s="9"/>
      <x:c r="AX502" s="9"/>
      <x:c r="AY502" s="9"/>
      <x:c r="AZ502" s="9"/>
      <x:c r="BA502" s="11" t="str">
        <x:f>HYPERLINK("https://www.mobygames.com/search/?q=Ch%C5%8Djin+Heiki+Zeroigar","MobyGames")</x:f>
        <x:v>MobyGames</x:v>
      </x:c>
      <x:c r="BB502" s="9"/>
      <x:c r="BC502" s="9"/>
      <x:c r="BD502" s="9"/>
      <x:c r="BE502" s="11" t="str">
        <x:f>HYPERLINK("https://en.wikipedia.org/wiki/Ch%C5%8Djin_Heiki_Zeroigar","Wikipedia")</x:f>
        <x:v>Wikipedia</x:v>
      </x:c>
      <x:c r="BF502" s="11" t="str">
        <x:f>HYPERLINK("https://backloggd.com/search/games/Ch%C5%8Djin%20Heiki%20Zeroigar/","Backloggd")</x:f>
        <x:v>Backloggd</x:v>
      </x:c>
      <x:c r="BG502" s="9"/>
      <x:c r="BH502" s="9"/>
      <x:c r="BI502" s="12" t="str">
        <x:v>No</x:v>
      </x:c>
      <x:c r="BJ502" s="12" t="str"/>
      <x:c r="BK502" s="12" t="str">
        <x:v>No</x:v>
      </x:c>
      <x:c r="BL502" s="12" t="str"/>
      <x:c r="BM502" s="12" t="str"/>
      <x:c r="BN502" s="12" t="str"/>
      <x:c r="BO502" s="12" t="str"/>
      <x:c r="BP502" s="12" t="str"/>
      <x:c r="BQ502" s="12" t="str"/>
    </x:row>
    <x:row r="503">
      <x:c r="A503" s="9" t="str">
        <x:v>pcfx-13</x:v>
      </x:c>
      <x:c r="B503" s="9" t="str">
        <x:v>koku-hyoryu-nirgends</x:v>
      </x:c>
      <x:c r="C503" s="9" t="str">
        <x:v>NEC PC-FX</x:v>
      </x:c>
      <x:c r="D503" s="9" t="str">
        <x:v>Kokū Hyōryū Nirgends</x:v>
      </x:c>
      <x:c r="E503" s="9" t="str">
        <x:v>Nirgends</x:v>
      </x:c>
      <x:c r="F503" s="9" t="str">
        <x:v>Micro Cabin</x:v>
      </x:c>
      <x:c r="G503" s="9" t="str">
        <x:v>NEC Home Electronics (JP)</x:v>
      </x:c>
      <x:c r="H503" s="9" t="n">
        <x:v>1996</x:v>
      </x:c>
      <x:c r="I503" s="9" t="str">
        <x:v>No</x:v>
      </x:c>
      <x:c r="J503" s="9" t="str">
        <x:v>Yes</x:v>
      </x:c>
      <x:c r="K503" s="9" t="str">
        <x:v>No</x:v>
      </x:c>
      <x:c r="L503" s="9" t="str">
        <x:v>No</x:v>
      </x:c>
      <x:c r="M503" s="9" t="str">
        <x:v>Adventure / flight-mecha combat sim</x:v>
      </x:c>
      <x:c r="N503" s="9" t="str">
        <x:v>Animated</x:v>
      </x:c>
      <x:c r="O503" s="9" t="n">
        <x:v>4</x:v>
      </x:c>
      <x:c r="P503" s="9" t="str">
        <x:v>FMV adventure</x:v>
      </x:c>
      <x:c r="Q503" s="9" t="str">
        <x:v>Released</x:v>
      </x:c>
      <x:c r="R503" s="9" t="str">
        <x:v>Original production</x:v>
      </x:c>
      <x:c r="S503" s="9" t="str">
        <x:v>None</x:v>
      </x:c>
      <x:c r="T503" s="9" t="str">
        <x:v>—</x:v>
      </x:c>
      <x:c r="U503" s="9" t="n">
        <x:v>1</x:v>
      </x:c>
      <x:c r="V503" s="9" t="str">
        <x:v>Yes</x:v>
      </x:c>
      <x:c r="W503" s="9" t="str">
        <x:v>PC-FX pad; save uses internal backup RAM (or FX-BMP backup card) — verify</x:v>
      </x:c>
      <x:c r="X503" s="9" t="str">
        <x:v>Low</x:v>
      </x:c>
      <x:c r="Y503" s="9" t="str"/>
      <x:c r="Z503" s="9" t="str">
        <x:v>Unknown — verify</x:v>
      </x:c>
      <x:c r="AA503" s="9" t="str">
        <x:v>Micro Cabin's airship-war adventure: menu-driven story scenes, cockpit dogfights and planes that turn into giant robots.</x:v>
      </x:c>
      <x:c r="AB503" s="9" t="str">
        <x:v>None known</x:v>
      </x:c>
      <x:c r="AC503" s="9" t="str">
        <x:v>Anime cutscenes via Motion JPEG decoded by the HuC6271 'Rainbow' chip (up to 30 fps) — extent verify</x:v>
      </x:c>
      <x:c r="AD503" s="9" t="str">
        <x:v>Unknown — verify</x:v>
      </x:c>
      <x:c r="AE503" s="9" t="str">
        <x:v>Unknown — verify</x:v>
      </x:c>
      <x:c r="AF503" s="9" t="str">
        <x:v>Pilot Dünn Bit joins the special unit Windmühle; German-flavoured names throughout.</x:v>
      </x:c>
      <x:c r="AG503" s="9" t="str">
        <x:v>Single Japanese release; no known reprint — verify</x:v>
      </x:c>
      <x:c r="AH503" s="9" t="str">
        <x:v>No</x:v>
      </x:c>
      <x:c r="AI503" s="9" t="str">
        <x:v>Expensive</x:v>
      </x:c>
      <x:c r="AJ503" s="9" t="str">
        <x:v>Original PC-FX hardware (Japanese import), or Mednafen / RetroArch Beetle PC-FX with the pcfx.rom BIOS; no fan translation known</x:v>
      </x:c>
      <x:c r="AK503" s="9" t="str">
        <x:v>Command-based adventure needs Japanese reading. No fan translation known.</x:v>
      </x:c>
      <x:c r="AL503" s="10" t="n">
        <x:v>150</x:v>
      </x:c>
      <x:c r="AM503" s="10" t="n">
        <x:v>330</x:v>
      </x:c>
      <x:c r="AN503" s="10" t="n">
        <x:v>675</x:v>
      </x:c>
      <x:c r="AO503" s="9" t="str">
        <x:v>2026-10-24</x:v>
      </x:c>
      <x:c r="AP503" s="11" t="str">
        <x:f>HYPERLINK("https://www.pricecharting.com/search-products?q=Kok%C5%AB+Hy%C5%8Dry%C5%AB+Nirgends+pc-fx&amp;type=prices","PriceCharting")</x:f>
        <x:v>PriceCharting</x:v>
      </x:c>
      <x:c r="AQ503" s="9"/>
      <x:c r="AR503" s="9"/>
      <x:c r="AS503" s="9"/>
      <x:c r="AT503" s="9"/>
      <x:c r="AU503" s="9"/>
      <x:c r="AV503" s="9"/>
      <x:c r="AW503" s="9"/>
      <x:c r="AX503" s="9"/>
      <x:c r="AY503" s="9"/>
      <x:c r="AZ503" s="9"/>
      <x:c r="BA503" s="11" t="str">
        <x:f>HYPERLINK("https://mobygames.com/game/43207/koku-hyoryo-nirgends","MobyGames")</x:f>
        <x:v>MobyGames</x:v>
      </x:c>
      <x:c r="BB503" s="9"/>
      <x:c r="BC503" s="9"/>
      <x:c r="BD503" s="9"/>
      <x:c r="BE503" s="9"/>
      <x:c r="BF503" s="11" t="str">
        <x:f>HYPERLINK("https://backloggd.com/search/games/Kok%C5%AB%20Hy%C5%8Dry%C5%AB%20Nirgends/","Backloggd")</x:f>
        <x:v>Backloggd</x:v>
      </x:c>
      <x:c r="BG503" s="9"/>
      <x:c r="BH503" s="9"/>
      <x:c r="BI503" s="12" t="str">
        <x:v>No</x:v>
      </x:c>
      <x:c r="BJ503" s="12" t="str"/>
      <x:c r="BK503" s="12" t="str">
        <x:v>No</x:v>
      </x:c>
      <x:c r="BL503" s="12" t="str"/>
      <x:c r="BM503" s="12" t="str"/>
      <x:c r="BN503" s="12" t="str"/>
      <x:c r="BO503" s="12" t="str"/>
      <x:c r="BP503" s="12" t="str"/>
      <x:c r="BQ503" s="12" t="str"/>
    </x:row>
    <x:row r="504">
      <x:c r="A504" s="9" t="str">
        <x:v>pcfx-14</x:v>
      </x:c>
      <x:c r="B504" s="9" t="str">
        <x:v>super-power-league-fx</x:v>
      </x:c>
      <x:c r="C504" s="9" t="str">
        <x:v>NEC PC-FX</x:v>
      </x:c>
      <x:c r="D504" s="9" t="str">
        <x:v>Super Power League FX</x:v>
      </x:c>
      <x:c r="E504" s="9" t="str"/>
      <x:c r="F504" s="9" t="str">
        <x:v>Hudson Soft</x:v>
      </x:c>
      <x:c r="G504" s="9" t="str">
        <x:v>Hudson Soft (JP)</x:v>
      </x:c>
      <x:c r="H504" s="9" t="n">
        <x:v>1996</x:v>
      </x:c>
      <x:c r="I504" s="9" t="str">
        <x:v>No</x:v>
      </x:c>
      <x:c r="J504" s="9" t="str">
        <x:v>Yes</x:v>
      </x:c>
      <x:c r="K504" s="9" t="str">
        <x:v>No</x:v>
      </x:c>
      <x:c r="L504" s="9" t="str">
        <x:v>No</x:v>
      </x:c>
      <x:c r="M504" s="9" t="str">
        <x:v>Baseball</x:v>
      </x:c>
      <x:c r="N504" s="9" t="str">
        <x:v>Animated</x:v>
      </x:c>
      <x:c r="O504" s="9" t="n">
        <x:v>1</x:v>
      </x:c>
      <x:c r="P504" s="9" t="str">
        <x:v>Sports w/ FMV</x:v>
      </x:c>
      <x:c r="Q504" s="9" t="str">
        <x:v>Released</x:v>
      </x:c>
      <x:c r="R504" s="9" t="str">
        <x:v>Hudson's Power League series</x:v>
      </x:c>
      <x:c r="S504" s="9" t="str">
        <x:v>None (series on PC Engine, Super Famicom)</x:v>
      </x:c>
      <x:c r="T504" s="9" t="str">
        <x:v>—</x:v>
      </x:c>
      <x:c r="U504" s="9" t="n">
        <x:v>1</x:v>
      </x:c>
      <x:c r="V504" s="9" t="str">
        <x:v>Yes</x:v>
      </x:c>
      <x:c r="W504" s="9" t="str">
        <x:v>PC-FX pad; save uses internal backup RAM (or FX-BMP backup card) — verify</x:v>
      </x:c>
      <x:c r="X504" s="9" t="str">
        <x:v>Low</x:v>
      </x:c>
      <x:c r="Y504" s="9" t="str">
        <x:v>Licensed NPB team names only</x:v>
      </x:c>
      <x:c r="Z504" s="9" t="str">
        <x:v>20–30 min per game</x:v>
      </x:c>
      <x:c r="AA504" s="9" t="str">
        <x:v>Hudson's long-running baseball series with official NPB teams, on NEC's video console.</x:v>
      </x:c>
      <x:c r="AB504" s="9" t="str">
        <x:v>None known</x:v>
      </x:c>
      <x:c r="AC504" s="9" t="str">
        <x:v>FMV content unconfirmed (verify); gameplay is sprite-based</x:v>
      </x:c>
      <x:c r="AD504" s="9" t="str">
        <x:v>Unknown — verify</x:v>
      </x:c>
      <x:c r="AE504" s="9" t="str">
        <x:v>Unknown — verify</x:v>
      </x:c>
      <x:c r="AF504" s="9" t="str"/>
      <x:c r="AG504" s="9" t="str">
        <x:v>Single Japanese release; no known reprint — verify</x:v>
      </x:c>
      <x:c r="AH504" s="9" t="str">
        <x:v>No</x:v>
      </x:c>
      <x:c r="AI504" s="9" t="str">
        <x:v>Expensive</x:v>
      </x:c>
      <x:c r="AJ504" s="9" t="str">
        <x:v>Original PC-FX hardware (Japanese import), or Mednafen / RetroArch Beetle PC-FX with the pcfx.rom BIOS; no fan translation known</x:v>
      </x:c>
      <x:c r="AK504" s="9" t="str">
        <x:v>Amount of streamed video unknown; may be close to fmv 0 — verify. Menus need some Japanese; baseball itself is playable without. No fan translation known.</x:v>
      </x:c>
      <x:c r="AL504" s="10" t="n">
        <x:v>111.77</x:v>
      </x:c>
      <x:c r="AM504" s="10" t="n">
        <x:v>279.86</x:v>
      </x:c>
      <x:c r="AN504" s="10" t="n">
        <x:v>560</x:v>
      </x:c>
      <x:c r="AO504" s="9" t="str">
        <x:v>2026-10-24</x:v>
      </x:c>
      <x:c r="AP504" s="11" t="str">
        <x:f>HYPERLINK("https://www.pricecharting.com/search-products?q=Super+Power+League+FX+pc-fx&amp;type=prices","PriceCharting")</x:f>
        <x:v>PriceCharting</x:v>
      </x:c>
      <x:c r="AQ504" s="9"/>
      <x:c r="AR504" s="9"/>
      <x:c r="AS504" s="9"/>
      <x:c r="AT504" s="9"/>
      <x:c r="AU504" s="9"/>
      <x:c r="AV504" s="9"/>
      <x:c r="AW504" s="9"/>
      <x:c r="AX504" s="9"/>
      <x:c r="AY504" s="9"/>
      <x:c r="AZ504" s="9" t="str">
        <x:v>2.8</x:v>
      </x:c>
      <x:c r="BA504" s="11" t="str">
        <x:f>HYPERLINK("https://www.mobygames.com/game/pc-fx/super-power-league-fx","MobyGames")</x:f>
        <x:v>MobyGames</x:v>
      </x:c>
      <x:c r="BB504" s="9"/>
      <x:c r="BC504" s="9"/>
      <x:c r="BD504" s="9"/>
      <x:c r="BE504" s="9"/>
      <x:c r="BF504" s="11" t="str">
        <x:f>HYPERLINK("https://backloggd.com/search/games/Super%20Power%20League%20FX/","Backloggd")</x:f>
        <x:v>Backloggd</x:v>
      </x:c>
      <x:c r="BG504" s="9"/>
      <x:c r="BH504" s="9"/>
      <x:c r="BI504" s="12" t="str">
        <x:v>No</x:v>
      </x:c>
      <x:c r="BJ504" s="12" t="str"/>
      <x:c r="BK504" s="12" t="str">
        <x:v>No</x:v>
      </x:c>
      <x:c r="BL504" s="12" t="str"/>
      <x:c r="BM504" s="12" t="str"/>
      <x:c r="BN504" s="12" t="str"/>
      <x:c r="BO504" s="12" t="str"/>
      <x:c r="BP504" s="12" t="str"/>
      <x:c r="BQ504" s="12" t="str"/>
    </x:row>
    <x:row r="505">
      <x:c r="A505" s="9" t="str">
        <x:v>pcfx-15</x:v>
      </x:c>
      <x:c r="B505" s="9" t="str">
        <x:v>blue-breaker</x:v>
      </x:c>
      <x:c r="C505" s="9" t="str">
        <x:v>NEC PC-FX</x:v>
      </x:c>
      <x:c r="D505" s="9" t="str">
        <x:v>Blue Breaker: Ken yori mo Hohoemi o</x:v>
      </x:c>
      <x:c r="E505" s="9" t="str">
        <x:v>Blue Breaker: Smiles Rather Than Swords</x:v>
      </x:c>
      <x:c r="F505" s="9" t="str">
        <x:v>HuneX</x:v>
      </x:c>
      <x:c r="G505" s="9" t="str">
        <x:v>NEC Home Electronics (JP)</x:v>
      </x:c>
      <x:c r="H505" s="9" t="n">
        <x:v>1996</x:v>
      </x:c>
      <x:c r="I505" s="9" t="str">
        <x:v>No</x:v>
      </x:c>
      <x:c r="J505" s="9" t="str">
        <x:v>Yes</x:v>
      </x:c>
      <x:c r="K505" s="9" t="str">
        <x:v>No</x:v>
      </x:c>
      <x:c r="L505" s="9" t="str">
        <x:v>No</x:v>
      </x:c>
      <x:c r="M505" s="9" t="str">
        <x:v>RPG with dating-sim elements</x:v>
      </x:c>
      <x:c r="N505" s="9" t="str">
        <x:v>Animated</x:v>
      </x:c>
      <x:c r="O505" s="9" t="n">
        <x:v>3</x:v>
      </x:c>
      <x:c r="P505" s="9" t="str">
        <x:v>Cutscenes only</x:v>
      </x:c>
      <x:c r="Q505" s="9" t="str">
        <x:v>Released</x:v>
      </x:c>
      <x:c r="R505" s="9" t="str">
        <x:v>Original production</x:v>
      </x:c>
      <x:c r="S505" s="9" t="str">
        <x:v>Sega Saturn, PlayStation</x:v>
      </x:c>
      <x:c r="T505" s="9" t="str">
        <x:v>—</x:v>
      </x:c>
      <x:c r="U505" s="9" t="n">
        <x:v>1</x:v>
      </x:c>
      <x:c r="V505" s="9" t="str">
        <x:v>Yes</x:v>
      </x:c>
      <x:c r="W505" s="9" t="str">
        <x:v>PC-FX pad; save uses internal backup RAM (or FX-BMP backup card) — verify</x:v>
      </x:c>
      <x:c r="X505" s="9" t="str">
        <x:v>Low</x:v>
      </x:c>
      <x:c r="Y505" s="9" t="str"/>
      <x:c r="Z505" s="9" t="str">
        <x:v>20+ hr — verify</x:v>
      </x:c>
      <x:c r="AA505" s="9" t="str">
        <x:v>A HuneX fantasy RPG where the party's heroines matter as much as the battles, with anime cutscenes on the PC-FX.</x:v>
      </x:c>
      <x:c r="AB505" s="9" t="str">
        <x:v>None known</x:v>
      </x:c>
      <x:c r="AC505" s="9" t="str">
        <x:v>Anime cutscenes via Motion JPEG decoded by the HuC6271 'Rainbow' chip (up to 30 fps) (verify extent)</x:v>
      </x:c>
      <x:c r="AD505" s="9" t="str">
        <x:v>Unknown — verify</x:v>
      </x:c>
      <x:c r="AE505" s="9" t="str">
        <x:v>Multiple heroine endings (verify)</x:v>
      </x:c>
      <x:c r="AF505" s="9" t="str"/>
      <x:c r="AG505" s="9" t="str">
        <x:v>Single Japanese release; no known reprint — verify</x:v>
      </x:c>
      <x:c r="AH505" s="9" t="str">
        <x:v>No</x:v>
      </x:c>
      <x:c r="AI505" s="9" t="str">
        <x:v>Import</x:v>
      </x:c>
      <x:c r="AJ505" s="9" t="str">
        <x:v>Original PC-FX hardware (Japanese import), or Mednafen / RetroArch Beetle PC-FX with the pcfx.rom BIOS; no fan translation known</x:v>
      </x:c>
      <x:c r="AK505" s="9" t="str">
        <x:v>Text-heavy; needs Japanese reading. No fan translation known.</x:v>
      </x:c>
      <x:c r="AL505" s="10" t="n">
        <x:v>19.91</x:v>
      </x:c>
      <x:c r="AM505" s="10" t="n">
        <x:v>48.52</x:v>
      </x:c>
      <x:c r="AN505" s="10" t="n">
        <x:v>97</x:v>
      </x:c>
      <x:c r="AO505" s="9" t="str">
        <x:v>2026-10-24</x:v>
      </x:c>
      <x:c r="AP505" s="11" t="str">
        <x:f>HYPERLINK("https://www.pricecharting.com/search-products?q=Blue+Breaker%3A+Ken+yori+mo+Hohoemi+o+pc-fx&amp;type=prices","PriceCharting")</x:f>
        <x:v>PriceCharting</x:v>
      </x:c>
      <x:c r="AQ505" s="9"/>
      <x:c r="AR505" s="9"/>
      <x:c r="AS505" s="9"/>
      <x:c r="AT505" s="9"/>
      <x:c r="AU505" s="9"/>
      <x:c r="AV505" s="9"/>
      <x:c r="AW505" s="9"/>
      <x:c r="AX505" s="9"/>
      <x:c r="AY505" s="9"/>
      <x:c r="AZ505" s="9" t="str">
        <x:v>3.3</x:v>
      </x:c>
      <x:c r="BA505" s="11" t="str">
        <x:f>HYPERLINK("https://www.mobygames.com/game/pc-fx/blue-breaker-ken-yori-mo-hohoemi-o","MobyGames")</x:f>
        <x:v>MobyGames</x:v>
      </x:c>
      <x:c r="BB505" s="9"/>
      <x:c r="BC505" s="9"/>
      <x:c r="BD505" s="9"/>
      <x:c r="BE505" s="9"/>
      <x:c r="BF505" s="11" t="str">
        <x:f>HYPERLINK("https://backloggd.com/search/games/Blue%20Breaker%3A%20Ken%20yori%20mo%20Hohoemi%20o/","Backloggd")</x:f>
        <x:v>Backloggd</x:v>
      </x:c>
      <x:c r="BG505" s="9"/>
      <x:c r="BH505" s="9"/>
      <x:c r="BI505" s="12" t="str">
        <x:v>No</x:v>
      </x:c>
      <x:c r="BJ505" s="12" t="str"/>
      <x:c r="BK505" s="12" t="str">
        <x:v>No</x:v>
      </x:c>
      <x:c r="BL505" s="12" t="str"/>
      <x:c r="BM505" s="12" t="str"/>
      <x:c r="BN505" s="12" t="str"/>
      <x:c r="BO505" s="12" t="str"/>
      <x:c r="BP505" s="12" t="str"/>
      <x:c r="BQ505" s="12" t="str"/>
    </x:row>
    <x:row r="506">
      <x:c r="A506" s="9" t="str">
        <x:v>pcfx-16</x:v>
      </x:c>
      <x:c r="B506" s="9" t="str">
        <x:v>power-dolls</x:v>
      </x:c>
      <x:c r="C506" s="9" t="str">
        <x:v>NEC PC-FX</x:v>
      </x:c>
      <x:c r="D506" s="9" t="str">
        <x:v>Power DoLLS FX</x:v>
      </x:c>
      <x:c r="E506" s="9" t="str"/>
      <x:c r="F506" s="9" t="str">
        <x:v>Kogado Studio</x:v>
      </x:c>
      <x:c r="G506" s="9" t="str">
        <x:v>NEC Home Electronics (JP)</x:v>
      </x:c>
      <x:c r="H506" s="9" t="n">
        <x:v>1996</x:v>
      </x:c>
      <x:c r="I506" s="9" t="str">
        <x:v>No</x:v>
      </x:c>
      <x:c r="J506" s="9" t="str">
        <x:v>Yes</x:v>
      </x:c>
      <x:c r="K506" s="9" t="str">
        <x:v>No</x:v>
      </x:c>
      <x:c r="L506" s="9" t="str">
        <x:v>No</x:v>
      </x:c>
      <x:c r="M506" s="9" t="str">
        <x:v>Tactical strategy</x:v>
      </x:c>
      <x:c r="N506" s="9" t="str">
        <x:v>Pre-rendered CG</x:v>
      </x:c>
      <x:c r="O506" s="9" t="n">
        <x:v>2</x:v>
      </x:c>
      <x:c r="P506" s="9" t="str">
        <x:v>Cutscenes only</x:v>
      </x:c>
      <x:c r="Q506" s="9" t="str">
        <x:v>Released</x:v>
      </x:c>
      <x:c r="R506" s="9" t="str">
        <x:v>Port of Power DoLLS (PC-98, Kogado, 1994)</x:v>
      </x:c>
      <x:c r="S506" s="9" t="str">
        <x:v>PC-98, Windows (verify)</x:v>
      </x:c>
      <x:c r="T506" s="9" t="str">
        <x:v>—</x:v>
      </x:c>
      <x:c r="U506" s="9" t="n">
        <x:v>1</x:v>
      </x:c>
      <x:c r="V506" s="9" t="str">
        <x:v>Yes</x:v>
      </x:c>
      <x:c r="W506" s="9" t="str">
        <x:v>PC-FX pad; PC-FX mouse supported</x:v>
      </x:c>
      <x:c r="X506" s="9" t="str">
        <x:v>Low</x:v>
      </x:c>
      <x:c r="Y506" s="9" t="str"/>
      <x:c r="Z506" s="9" t="str">
        <x:v>15–25 hr — verify</x:v>
      </x:c>
      <x:c r="AA506" s="9" t="str">
        <x:v>Kogado's all-woman mech squad tactics game, with mouse support and video briefings on the PC-FX.</x:v>
      </x:c>
      <x:c r="AB506" s="9" t="str">
        <x:v>None known</x:v>
      </x:c>
      <x:c r="AC506" s="9" t="str">
        <x:v>Cutscene video via Motion JPEG decoded by the HuC6271 'Rainbow' chip (up to 30 fps) — content (anime vs CG) verify</x:v>
      </x:c>
      <x:c r="AD506" s="9" t="str">
        <x:v>Unknown — verify</x:v>
      </x:c>
      <x:c r="AE506" s="9" t="str">
        <x:v>Unknown — verify</x:v>
      </x:c>
      <x:c r="AF506" s="9" t="str"/>
      <x:c r="AG506" s="9" t="str">
        <x:v>Single Japanese release; no known reprint — verify</x:v>
      </x:c>
      <x:c r="AH506" s="9" t="str">
        <x:v>No</x:v>
      </x:c>
      <x:c r="AI506" s="9" t="str">
        <x:v>Import</x:v>
      </x:c>
      <x:c r="AJ506" s="9" t="str">
        <x:v>Original PC-FX hardware (Japanese import), or Mednafen / RetroArch Beetle PC-FX with the pcfx.rom BIOS; no fan translation known</x:v>
      </x:c>
      <x:c r="AK506" s="9" t="str">
        <x:v>Briefings and menus need Japanese. No fan translation known.</x:v>
      </x:c>
      <x:c r="AL506" s="10" t="n">
        <x:v>90</x:v>
      </x:c>
      <x:c r="AM506" s="10" t="n">
        <x:v>100</x:v>
      </x:c>
      <x:c r="AN506" s="10" t="n">
        <x:v>200</x:v>
      </x:c>
      <x:c r="AO506" s="9" t="str">
        <x:v>2026-10-24</x:v>
      </x:c>
      <x:c r="AP506" s="11" t="str">
        <x:f>HYPERLINK("https://www.pricecharting.com/search-products?q=Power+DoLLS+FX+pc-fx&amp;type=prices","PriceCharting")</x:f>
        <x:v>PriceCharting</x:v>
      </x:c>
      <x:c r="AQ506" s="9"/>
      <x:c r="AR506" s="9"/>
      <x:c r="AS506" s="9"/>
      <x:c r="AT506" s="9"/>
      <x:c r="AU506" s="9"/>
      <x:c r="AV506" s="9"/>
      <x:c r="AW506" s="9"/>
      <x:c r="AX506" s="9"/>
      <x:c r="AY506" s="9"/>
      <x:c r="AZ506" s="9" t="str">
        <x:v>3.0</x:v>
      </x:c>
      <x:c r="BA506" s="11" t="str">
        <x:f>HYPERLINK("https://www.mobygames.com/game/pc-fx/power-dolls-fx","MobyGames")</x:f>
        <x:v>MobyGames</x:v>
      </x:c>
      <x:c r="BB506" s="9"/>
      <x:c r="BC506" s="9"/>
      <x:c r="BD506" s="9"/>
      <x:c r="BE506" s="9"/>
      <x:c r="BF506" s="11" t="str">
        <x:f>HYPERLINK("https://backloggd.com/search/games/Power%20DoLLS%20FX/","Backloggd")</x:f>
        <x:v>Backloggd</x:v>
      </x:c>
      <x:c r="BG506" s="9"/>
      <x:c r="BH506" s="9"/>
      <x:c r="BI506" s="12" t="str">
        <x:v>No</x:v>
      </x:c>
      <x:c r="BJ506" s="12" t="str"/>
      <x:c r="BK506" s="12" t="str">
        <x:v>No</x:v>
      </x:c>
      <x:c r="BL506" s="12" t="str"/>
      <x:c r="BM506" s="12" t="str"/>
      <x:c r="BN506" s="12" t="str"/>
      <x:c r="BO506" s="12" t="str"/>
      <x:c r="BP506" s="12" t="str"/>
      <x:c r="BQ506" s="12" t="str"/>
    </x:row>
    <x:row r="507">
      <x:c r="A507" s="9" t="str">
        <x:v>pcfx-17</x:v>
      </x:c>
      <x:c r="B507" s="9" t="str">
        <x:v>sotsugyo-ii-neo-generation</x:v>
      </x:c>
      <x:c r="C507" s="9" t="str">
        <x:v>NEC PC-FX</x:v>
      </x:c>
      <x:c r="D507" s="9" t="str">
        <x:v>Sotsugyō II: Neo Generation FX</x:v>
      </x:c>
      <x:c r="E507" s="9" t="str">
        <x:v>Graduation II: Neo Generation FX</x:v>
      </x:c>
      <x:c r="F507" s="9" t="str">
        <x:v>Headroom / Riverhillsoft; Tenky (PC-FX conversion)</x:v>
      </x:c>
      <x:c r="G507" s="9" t="str">
        <x:v>NEC Home Electronics</x:v>
      </x:c>
      <x:c r="H507" s="9" t="n">
        <x:v>1994</x:v>
      </x:c>
      <x:c r="I507" s="9" t="str">
        <x:v>No</x:v>
      </x:c>
      <x:c r="J507" s="9" t="str">
        <x:v>Yes</x:v>
      </x:c>
      <x:c r="K507" s="9" t="str">
        <x:v>No</x:v>
      </x:c>
      <x:c r="L507" s="9" t="str">
        <x:v>No</x:v>
      </x:c>
      <x:c r="M507" s="9" t="str">
        <x:v>Life simulation (school-teacher raising sim)</x:v>
      </x:c>
      <x:c r="N507" s="9" t="str">
        <x:v>Animated</x:v>
      </x:c>
      <x:c r="O507" s="9" t="n">
        <x:v>2</x:v>
      </x:c>
      <x:c r="P507" s="9" t="str">
        <x:v>Cutscenes only</x:v>
      </x:c>
      <x:c r="Q507" s="9" t="str">
        <x:v>Released</x:v>
      </x:c>
      <x:c r="R507" s="9" t="str">
        <x:v>PC-98 original (Sotsugyō II: Neo Generation, Headroom/JHV)</x:v>
      </x:c>
      <x:c r="S507" s="9" t="str">
        <x:v>PC-98, Windows, PlayStation, Saturn (verify exact list)</x:v>
      </x:c>
      <x:c r="T507" s="9" t="str">
        <x:v>—</x:v>
      </x:c>
      <x:c r="U507" s="9" t="n">
        <x:v>1</x:v>
      </x:c>
      <x:c r="V507" s="9" t="str">
        <x:v>Yes (PC-FX internal backup RAM) — verify</x:v>
      </x:c>
      <x:c r="W507" s="9" t="str">
        <x:v>PC-FX pad; none required</x:v>
      </x:c>
      <x:c r="X507" s="9" t="str">
        <x:v>Low</x:v>
      </x:c>
      <x:c r="Y507" s="9" t="str"/>
      <x:c r="Z507" s="9" t="str">
        <x:v>3–5 hr per run (verify)</x:v>
      </x:c>
      <x:c r="AA507" s="9" t="str">
        <x:v>A PC-FX launch-window port of the teacher-raising sim, dressed up with the console's anime video to sell the 'anime machine' pitch.</x:v>
      </x:c>
      <x:c r="AB507" s="9" t="str">
        <x:v>None known</x:v>
      </x:c>
      <x:c r="AC507" s="9" t="str">
        <x:v>Anime movies for intro and key events; Full-screen (256×240) JPEG-compressed anime video decoded by the PC-FX's HuC6272 'King' chip, typically 15–30 fps with clean colour for 1994–98 — amount of video in this port not confirmed</x:v>
      </x:c>
      <x:c r="AD507" s="9" t="str">
        <x:v>Stat-management sim; forgiving but menu-heavy</x:v>
      </x:c>
      <x:c r="AE507" s="9" t="str">
        <x:v>Multiple endings per student (graduation outcomes, romance) — verify count</x:v>
      </x:c>
      <x:c r="AF507" s="9" t="str">
        <x:v>Released 23 December 1994, the PC-FX's launch day, alongside Team Innocent and Battle Heat.</x:v>
      </x:c>
      <x:c r="AG507" s="9" t="str">
        <x:v>Standard Japanese release only (verify)</x:v>
      </x:c>
      <x:c r="AH507" s="9" t="str">
        <x:v>No</x:v>
      </x:c>
      <x:c r="AI507" s="9" t="str">
        <x:v>Import</x:v>
      </x:c>
      <x:c r="AJ507" s="9" t="str">
        <x:v>Original Japanese PC-FX (no region lock issue on a JP console); emulation via Mednafen or RetroArch Beetle PC-FX (needs pcfx.rom BIOS). No English fan translation known (verify).</x:v>
      </x:c>
      <x:c r="AK507" s="9" t="str">
        <x:v>Japan-only. Heavy Japanese reading required (weekly scheduling menus, dialogue). FMV rating is a cautious 2: anime cutscenes, gameplay is menus and stills (verify how much video the FX version adds). No English fan translation known (verify).</x:v>
      </x:c>
      <x:c r="AL507" s="10" t="n">
        <x:v>13.9</x:v>
      </x:c>
      <x:c r="AM507" s="10" t="n">
        <x:v>30.58</x:v>
      </x:c>
      <x:c r="AN507" s="10" t="n">
        <x:v>62.55</x:v>
      </x:c>
      <x:c r="AO507" s="9" t="str">
        <x:v>2026-10-24</x:v>
      </x:c>
      <x:c r="AP507" s="11" t="str">
        <x:f>HYPERLINK("https://www.pricecharting.com/search-products?q=Sotsugy%C5%8D+II%3A+Neo+Generation+FX+pc-fx&amp;type=prices","PriceCharting")</x:f>
        <x:v>PriceCharting</x:v>
      </x:c>
      <x:c r="AQ507" s="9"/>
      <x:c r="AR507" s="9"/>
      <x:c r="AS507" s="9"/>
      <x:c r="AT507" s="9"/>
      <x:c r="AU507" s="9"/>
      <x:c r="AV507" s="9"/>
      <x:c r="AW507" s="9"/>
      <x:c r="AX507" s="9"/>
      <x:c r="AY507" s="9"/>
      <x:c r="AZ507" s="9"/>
      <x:c r="BA507" s="11" t="str">
        <x:f>HYPERLINK("https://www.mobygames.com/game/1861/graduation-for-windows-95/","MobyGames")</x:f>
        <x:v>MobyGames</x:v>
      </x:c>
      <x:c r="BB507" s="9"/>
      <x:c r="BC507" s="9"/>
      <x:c r="BD507" s="9"/>
      <x:c r="BE507" s="9"/>
      <x:c r="BF507" s="11" t="str">
        <x:f>HYPERLINK("https://backloggd.com/search/games/Sotsugy%C5%8D%20II%3A%20Neo%20Generation%20FX/","Backloggd")</x:f>
        <x:v>Backloggd</x:v>
      </x:c>
      <x:c r="BG507" s="9"/>
      <x:c r="BH507" s="9"/>
      <x:c r="BI507" s="12" t="str">
        <x:v>No</x:v>
      </x:c>
      <x:c r="BJ507" s="12" t="str"/>
      <x:c r="BK507" s="12" t="str">
        <x:v>No</x:v>
      </x:c>
      <x:c r="BL507" s="12" t="str"/>
      <x:c r="BM507" s="12" t="str"/>
      <x:c r="BN507" s="12" t="str"/>
      <x:c r="BO507" s="12" t="str"/>
      <x:c r="BP507" s="12" t="str"/>
      <x:c r="BQ507" s="12" t="str"/>
    </x:row>
    <x:row r="508">
      <x:c r="A508" s="9" t="str">
        <x:v>pcfx-18</x:v>
      </x:c>
      <x:c r="B508" s="9" t="str">
        <x:v>sotsugyo-graduation-real</x:v>
      </x:c>
      <x:c r="C508" s="9" t="str">
        <x:v>NEC PC-FX</x:v>
      </x:c>
      <x:c r="D508" s="9" t="str">
        <x:v>Sotsugyō R: Graduation Real</x:v>
      </x:c>
      <x:c r="E508" s="9" t="str">
        <x:v>Graduation R: Graduation Real</x:v>
      </x:c>
      <x:c r="F508" s="9" t="str">
        <x:v>Headroom</x:v>
      </x:c>
      <x:c r="G508" s="9" t="str">
        <x:v>NEC Avenue / NEC Home Electronics</x:v>
      </x:c>
      <x:c r="H508" s="9" t="n">
        <x:v>1998</x:v>
      </x:c>
      <x:c r="I508" s="9" t="str">
        <x:v>No</x:v>
      </x:c>
      <x:c r="J508" s="9" t="str">
        <x:v>Yes</x:v>
      </x:c>
      <x:c r="K508" s="9" t="str">
        <x:v>No</x:v>
      </x:c>
      <x:c r="L508" s="9" t="str">
        <x:v>No</x:v>
      </x:c>
      <x:c r="M508" s="9" t="str">
        <x:v>Life simulation (teacher raising sim)</x:v>
      </x:c>
      <x:c r="N508" s="9" t="str">
        <x:v>Live-action</x:v>
      </x:c>
      <x:c r="O508" s="9" t="n">
        <x:v>4</x:v>
      </x:c>
      <x:c r="P508" s="9" t="str">
        <x:v>FMV adventure</x:v>
      </x:c>
      <x:c r="Q508" s="9" t="str">
        <x:v>Released</x:v>
      </x:c>
      <x:c r="R508" s="9" t="str">
        <x:v>Live-action remake of Sotsugyō: Graduation (PC-98, 1992); PlayStation version 1996 (Bandai Visual / Emotion)</x:v>
      </x:c>
      <x:c r="S508" s="9" t="str">
        <x:v>PlayStation (1996, also a limited edition); Saturn (verify)</x:v>
      </x:c>
      <x:c r="T508" s="9" t="str">
        <x:v>Five real actresses play the students — names not confirmed (verify)</x:v>
      </x:c>
      <x:c r="U508" s="9" t="n">
        <x:v>1</x:v>
      </x:c>
      <x:c r="V508" s="9" t="str">
        <x:v>Yes (PC-FX internal backup RAM) — verify</x:v>
      </x:c>
      <x:c r="W508" s="9" t="str">
        <x:v>PC-FX pad; none required</x:v>
      </x:c>
      <x:c r="X508" s="9" t="str">
        <x:v>Low–Med</x:v>
      </x:c>
      <x:c r="Y508" s="9" t="str">
        <x:v>Vocal theme songs by the cast (verify)</x:v>
      </x:c>
      <x:c r="Z508" s="9" t="str">
        <x:v>3–5 hr per run (verify)</x:v>
      </x:c>
      <x:c r="AA508" s="9" t="str">
        <x:v>The Graduation sim redone with real actresses instead of anime girls: a rare live-action title on the anime-focused PC-FX.</x:v>
      </x:c>
      <x:c r="AB508" s="9" t="str">
        <x:v>None known</x:v>
      </x:c>
      <x:c r="AC508" s="9" t="str">
        <x:v>Live-action video and photography of the cast; Full-screen (256×240) JPEG-compressed video decoded by the PC-FX's HuC6272 'King' chip, typically 15–30 fps with clean colour for 1994–98 — balance of motion video vs stills not confirmed</x:v>
      </x:c>
      <x:c r="AD508" s="9" t="str">
        <x:v>Stat-management sim; forgiving</x:v>
      </x:c>
      <x:c r="AE508" s="9" t="str">
        <x:v>Multiple endings per student (graduation, romance, marriage) — verify count</x:v>
      </x:c>
      <x:c r="AF508" s="9" t="str">
        <x:v>The PlayStation version (SLPS-00318, March 1996) predates the PC-FX release; psxdatacenter calls the PS game a conversion of a PC-FX release, so release order needs checking.</x:v>
      </x:c>
      <x:c r="AG508" s="9" t="str">
        <x:v>Standard Japanese release only (verify)</x:v>
      </x:c>
      <x:c r="AH508" s="9" t="str">
        <x:v>No</x:v>
      </x:c>
      <x:c r="AI508" s="9" t="str">
        <x:v>Import</x:v>
      </x:c>
      <x:c r="AJ508" s="9" t="str">
        <x:v>Original Japanese PC-FX (no region lock issue on a JP console); emulation via Mednafen or RetroArch Beetle PC-FX (needs pcfx.rom BIOS). No English fan translation known (verify).</x:v>
      </x:c>
      <x:c r="AK508" s="9" t="str">
        <x:v>Japan-only. Heavy Japanese reading required. Live-action FMV confirmed for the PS version ('uses real actors images'); fmv 4 is a cautious estimate (verify). Wikipedia dates the PC-FX release 16 Jan 1998. No English fan translation known (verify).</x:v>
      </x:c>
      <x:c r="AL508" s="10"/>
      <x:c r="AM508" s="10"/>
      <x:c r="AN508" s="10"/>
      <x:c r="AO508" s="9"/>
      <x:c r="AP508" s="11" t="str">
        <x:f>HYPERLINK("https://www.pricecharting.com/game/pc-fx/sotsugyou-r-graduation-real","PriceCharting")</x:f>
        <x:v>PriceCharting</x:v>
      </x:c>
      <x:c r="AQ508" s="9"/>
      <x:c r="AR508" s="9"/>
      <x:c r="AS508" s="9"/>
      <x:c r="AT508" s="9"/>
      <x:c r="AU508" s="9"/>
      <x:c r="AV508" s="9"/>
      <x:c r="AW508" s="9"/>
      <x:c r="AX508" s="9"/>
      <x:c r="AY508" s="9"/>
      <x:c r="AZ508" s="9"/>
      <x:c r="BA508" s="11" t="str">
        <x:f>HYPERLINK("https://www.mobygames.com/game/43246/sotsugyo-graduation-real/","MobyGames")</x:f>
        <x:v>MobyGames</x:v>
      </x:c>
      <x:c r="BB508" s="9"/>
      <x:c r="BC508" s="9"/>
      <x:c r="BD508" s="9"/>
      <x:c r="BE508" s="9"/>
      <x:c r="BF508" s="11" t="str">
        <x:f>HYPERLINK("https://backloggd.com/search/games/Sotsugy%C5%8D%20R%3A%20Graduation%20Real/","Backloggd")</x:f>
        <x:v>Backloggd</x:v>
      </x:c>
      <x:c r="BG508" s="9"/>
      <x:c r="BH508" s="9"/>
      <x:c r="BI508" s="12" t="str">
        <x:v>No</x:v>
      </x:c>
      <x:c r="BJ508" s="12" t="str"/>
      <x:c r="BK508" s="12" t="str">
        <x:v>No</x:v>
      </x:c>
      <x:c r="BL508" s="12" t="str"/>
      <x:c r="BM508" s="12" t="str"/>
      <x:c r="BN508" s="12" t="str"/>
      <x:c r="BO508" s="12" t="str"/>
      <x:c r="BP508" s="12" t="str"/>
      <x:c r="BQ508" s="12" t="str"/>
    </x:row>
    <x:row r="509">
      <x:c r="A509" s="9" t="str">
        <x:v>pcfx-19</x:v>
      </x:c>
      <x:c r="B509" s="9" t="str">
        <x:v>miraculum-the-last-revelation</x:v>
      </x:c>
      <x:c r="C509" s="9" t="str">
        <x:v>NEC PC-FX</x:v>
      </x:c>
      <x:c r="D509" s="9" t="str">
        <x:v>Miraculum: The Last Revelation</x:v>
      </x:c>
      <x:c r="E509" s="9" t="str"/>
      <x:c r="F509" s="9" t="str">
        <x:v>RayForce</x:v>
      </x:c>
      <x:c r="G509" s="9" t="str">
        <x:v>NEC Home Electronics</x:v>
      </x:c>
      <x:c r="H509" s="9" t="n">
        <x:v>1996</x:v>
      </x:c>
      <x:c r="I509" s="9" t="str">
        <x:v>No</x:v>
      </x:c>
      <x:c r="J509" s="9" t="str">
        <x:v>Yes</x:v>
      </x:c>
      <x:c r="K509" s="9" t="str">
        <x:v>No</x:v>
      </x:c>
      <x:c r="L509" s="9" t="str">
        <x:v>No</x:v>
      </x:c>
      <x:c r="M509" s="9" t="str">
        <x:v>RPG</x:v>
      </x:c>
      <x:c r="N509" s="9" t="str">
        <x:v>Animated</x:v>
      </x:c>
      <x:c r="O509" s="9" t="n">
        <x:v>2</x:v>
      </x:c>
      <x:c r="P509" s="9" t="str">
        <x:v>Cutscenes only</x:v>
      </x:c>
      <x:c r="Q509" s="9" t="str">
        <x:v>Released</x:v>
      </x:c>
      <x:c r="R509" s="9" t="str">
        <x:v>Original production</x:v>
      </x:c>
      <x:c r="S509" s="9" t="str">
        <x:v>None (PC-FX exclusive) — verify</x:v>
      </x:c>
      <x:c r="T509" s="9" t="str">
        <x:v>—</x:v>
      </x:c>
      <x:c r="U509" s="9" t="n">
        <x:v>1</x:v>
      </x:c>
      <x:c r="V509" s="9" t="str">
        <x:v>Yes (PC-FX internal backup RAM) — verify</x:v>
      </x:c>
      <x:c r="W509" s="9" t="str">
        <x:v>PC-FX pad; none required</x:v>
      </x:c>
      <x:c r="X509" s="9" t="str">
        <x:v>Low</x:v>
      </x:c>
      <x:c r="Y509" s="9" t="str"/>
      <x:c r="Z509" s="9" t="str">
        <x:v>20–30 hr (verify)</x:v>
      </x:c>
      <x:c r="AA509" s="9" t="str">
        <x:v>An obscure all-original PC-FX RPG with anime movie cutscenes; one of few true RPGs on the system.</x:v>
      </x:c>
      <x:c r="AB509" s="9" t="str">
        <x:v>None known</x:v>
      </x:c>
      <x:c r="AC509" s="9" t="str">
        <x:v>Anime FMV for opening and story events; Full-screen (256×240) JPEG-compressed anime video decoded by the PC-FX's HuC6272 'King' chip, typically 15–30 fps with clean colour for 1994–98</x:v>
      </x:c>
      <x:c r="AD509" s="9" t="str">
        <x:v>Standard turn-based RPG (verify)</x:v>
      </x:c>
      <x:c r="AE509" s="9" t="str">
        <x:v>Linear (verify)</x:v>
      </x:c>
      <x:c r="AF509" s="9" t="str">
        <x:v>Developed by RayForce (not to be confused with Taito's shooter); Wikipedia dates it 29 March 1996.</x:v>
      </x:c>
      <x:c r="AG509" s="9" t="str">
        <x:v>Standard Japanese release only (verify)</x:v>
      </x:c>
      <x:c r="AH509" s="9" t="str">
        <x:v>No</x:v>
      </x:c>
      <x:c r="AI509" s="9" t="str">
        <x:v>Import</x:v>
      </x:c>
      <x:c r="AJ509" s="9" t="str">
        <x:v>Original Japanese PC-FX (no region lock issue on a JP console); emulation via Mednafen or RetroArch Beetle PC-FX (needs pcfx.rom BIOS). No English fan translation known (verify).</x:v>
      </x:c>
      <x:c r="AK509" s="9" t="str">
        <x:v>Japan-only. Japanese reading needed for story and menus. FMV is cutscenes only; amount not confirmed (verify). No English fan translation known (verify).</x:v>
      </x:c>
      <x:c r="AL509" s="10" t="n">
        <x:v>84.88</x:v>
      </x:c>
      <x:c r="AM509" s="10" t="n">
        <x:v>95</x:v>
      </x:c>
      <x:c r="AN509" s="10" t="n">
        <x:v>190</x:v>
      </x:c>
      <x:c r="AO509" s="9" t="str">
        <x:v>2026-10-24</x:v>
      </x:c>
      <x:c r="AP509" s="11" t="str">
        <x:f>HYPERLINK("https://www.pricecharting.com/search-products?q=Miraculum%3A+The+Last+Revelation+pc-fx&amp;type=prices","PriceCharting")</x:f>
        <x:v>PriceCharting</x:v>
      </x:c>
      <x:c r="AQ509" s="9"/>
      <x:c r="AR509" s="9"/>
      <x:c r="AS509" s="9"/>
      <x:c r="AT509" s="9"/>
      <x:c r="AU509" s="9"/>
      <x:c r="AV509" s="9"/>
      <x:c r="AW509" s="9"/>
      <x:c r="AX509" s="9"/>
      <x:c r="AY509" s="9"/>
      <x:c r="AZ509" s="9" t="str">
        <x:v>3.2</x:v>
      </x:c>
      <x:c r="BA509" s="11" t="str">
        <x:f>HYPERLINK("https://www.mobygames.com/game/pc-fx/miraculum-the-last-revelation","MobyGames")</x:f>
        <x:v>MobyGames</x:v>
      </x:c>
      <x:c r="BB509" s="9"/>
      <x:c r="BC509" s="9"/>
      <x:c r="BD509" s="9"/>
      <x:c r="BE509" s="9"/>
      <x:c r="BF509" s="11" t="str">
        <x:f>HYPERLINK("https://backloggd.com/search/games/Miraculum%3A%20The%20Last%20Revelation/","Backloggd")</x:f>
        <x:v>Backloggd</x:v>
      </x:c>
      <x:c r="BG509" s="9"/>
      <x:c r="BH509" s="9"/>
      <x:c r="BI509" s="12" t="str">
        <x:v>No</x:v>
      </x:c>
      <x:c r="BJ509" s="12" t="str"/>
      <x:c r="BK509" s="12" t="str">
        <x:v>No</x:v>
      </x:c>
      <x:c r="BL509" s="12" t="str"/>
      <x:c r="BM509" s="12" t="str"/>
      <x:c r="BN509" s="12" t="str"/>
      <x:c r="BO509" s="12" t="str"/>
      <x:c r="BP509" s="12" t="str"/>
      <x:c r="BQ509" s="12" t="str"/>
    </x:row>
    <x:row r="510">
      <x:c r="A510" s="9" t="str">
        <x:v>pcfx-20</x:v>
      </x:c>
      <x:c r="B510" s="9" t="str">
        <x:v>lunatic-dawn</x:v>
      </x:c>
      <x:c r="C510" s="9" t="str">
        <x:v>NEC PC-FX</x:v>
      </x:c>
      <x:c r="D510" s="9" t="str">
        <x:v>Lunatic Dawn FX</x:v>
      </x:c>
      <x:c r="E510" s="9" t="str"/>
      <x:c r="F510" s="9" t="str">
        <x:v>Artdink</x:v>
      </x:c>
      <x:c r="G510" s="9" t="str">
        <x:v>NEC Home Electronics</x:v>
      </x:c>
      <x:c r="H510" s="9" t="n">
        <x:v>1995</x:v>
      </x:c>
      <x:c r="I510" s="9" t="str">
        <x:v>No</x:v>
      </x:c>
      <x:c r="J510" s="9" t="str">
        <x:v>Yes</x:v>
      </x:c>
      <x:c r="K510" s="9" t="str">
        <x:v>No</x:v>
      </x:c>
      <x:c r="L510" s="9" t="str">
        <x:v>No</x:v>
      </x:c>
      <x:c r="M510" s="9" t="str">
        <x:v>Open-ended Western-style RPG</x:v>
      </x:c>
      <x:c r="N510" s="9" t="str">
        <x:v>Animated</x:v>
      </x:c>
      <x:c r="O510" s="9" t="n">
        <x:v>1</x:v>
      </x:c>
      <x:c r="P510" s="9" t="str">
        <x:v>Cutscenes only</x:v>
      </x:c>
      <x:c r="Q510" s="9" t="str">
        <x:v>Released</x:v>
      </x:c>
      <x:c r="R510" s="9" t="str">
        <x:v>PC-98 original (Lunatic Dawn, Artdink, 1993)</x:v>
      </x:c>
      <x:c r="S510" s="9" t="str">
        <x:v>PC-98, FM Towns (original Lunatic Dawn) — verify</x:v>
      </x:c>
      <x:c r="T510" s="9" t="str">
        <x:v>—</x:v>
      </x:c>
      <x:c r="U510" s="9" t="n">
        <x:v>1</x:v>
      </x:c>
      <x:c r="V510" s="9" t="str">
        <x:v>Yes (PC-FX internal backup RAM) — verify</x:v>
      </x:c>
      <x:c r="W510" s="9" t="str">
        <x:v>PC-FX pad; none required</x:v>
      </x:c>
      <x:c r="X510" s="9" t="str">
        <x:v>Low</x:v>
      </x:c>
      <x:c r="Y510" s="9" t="str"/>
      <x:c r="Z510" s="9" t="str">
        <x:v>Open-ended; 10+ hr (verify)</x:v>
      </x:c>
      <x:c r="AA510" s="9" t="str">
        <x:v>Artdink's free-form adventurer life sim, an unusual non-anime RPG that barely uses the PC-FX's video hardware.</x:v>
      </x:c>
      <x:c r="AB510" s="9" t="str">
        <x:v>None known</x:v>
      </x:c>
      <x:c r="AC510" s="9" t="str">
        <x:v>Short anime/CG intro only (verify); gameplay is static screens and menus</x:v>
      </x:c>
      <x:c r="AD510" s="9" t="str">
        <x:v>Freeform; easy to wander into danger</x:v>
      </x:c>
      <x:c r="AE510" s="9" t="str">
        <x:v>Open-ended, no fixed story ending (verify)</x:v>
      </x:c>
      <x:c r="AF510" s="9" t="str">
        <x:v>Lunatic Dawn is known for having no main quest: you take jobs and live an adventurer's life.</x:v>
      </x:c>
      <x:c r="AG510" s="9" t="str">
        <x:v>Standard Japanese release only (verify)</x:v>
      </x:c>
      <x:c r="AH510" s="9" t="str">
        <x:v>No</x:v>
      </x:c>
      <x:c r="AI510" s="9" t="str">
        <x:v>Import</x:v>
      </x:c>
      <x:c r="AJ510" s="9" t="str">
        <x:v>Original Japanese PC-FX (no region lock issue on a JP console); emulation via Mednafen or RetroArch Beetle PC-FX (needs pcfx.rom BIOS). No English fan translation known (verify).</x:v>
      </x:c>
      <x:c r="AK510" s="9" t="str">
        <x:v>Japan-only. Heavy Japanese reading required. Video appears limited to an intro, so fmv 1 (verify; set 0 if there is no movie). No English fan translation known (verify).</x:v>
      </x:c>
      <x:c r="AL510" s="10" t="n">
        <x:v>69</x:v>
      </x:c>
      <x:c r="AM510" s="10" t="n">
        <x:v>90.41</x:v>
      </x:c>
      <x:c r="AN510" s="10" t="n">
        <x:v>181</x:v>
      </x:c>
      <x:c r="AO510" s="9" t="str">
        <x:v>2026-10-24</x:v>
      </x:c>
      <x:c r="AP510" s="11" t="str">
        <x:f>HYPERLINK("https://www.pricecharting.com/search-products?q=Lunatic+Dawn+FX+pc-fx&amp;type=prices","PriceCharting")</x:f>
        <x:v>PriceCharting</x:v>
      </x:c>
      <x:c r="AQ510" s="9"/>
      <x:c r="AR510" s="9"/>
      <x:c r="AS510" s="9"/>
      <x:c r="AT510" s="9"/>
      <x:c r="AU510" s="9"/>
      <x:c r="AV510" s="9"/>
      <x:c r="AW510" s="9"/>
      <x:c r="AX510" s="9"/>
      <x:c r="AY510" s="9"/>
      <x:c r="AZ510" s="9" t="str">
        <x:v>3.0</x:v>
      </x:c>
      <x:c r="BA510" s="11" t="str">
        <x:f>HYPERLINK("https://www.mobygames.com/game/pc-fx/lunatic-dawn-fx","MobyGames")</x:f>
        <x:v>MobyGames</x:v>
      </x:c>
      <x:c r="BB510" s="9"/>
      <x:c r="BC510" s="9"/>
      <x:c r="BD510" s="9"/>
      <x:c r="BE510" s="11" t="str">
        <x:f>HYPERLINK("https://en.wikipedia.org/wiki/Lunatic_Dawn","Wikipedia")</x:f>
        <x:v>Wikipedia</x:v>
      </x:c>
      <x:c r="BF510" s="11" t="str">
        <x:f>HYPERLINK("https://backloggd.com/search/games/Lunatic%20Dawn%20FX/","Backloggd")</x:f>
        <x:v>Backloggd</x:v>
      </x:c>
      <x:c r="BG510" s="9"/>
      <x:c r="BH510" s="9"/>
      <x:c r="BI510" s="12" t="str">
        <x:v>No</x:v>
      </x:c>
      <x:c r="BJ510" s="12" t="str"/>
      <x:c r="BK510" s="12" t="str">
        <x:v>No</x:v>
      </x:c>
      <x:c r="BL510" s="12" t="str"/>
      <x:c r="BM510" s="12" t="str"/>
      <x:c r="BN510" s="12" t="str"/>
      <x:c r="BO510" s="12" t="str"/>
      <x:c r="BP510" s="12" t="str"/>
      <x:c r="BQ510" s="12" t="str"/>
    </x:row>
    <x:row r="511">
      <x:c r="A511" s="9" t="str">
        <x:v>pcfx-21</x:v>
      </x:c>
      <x:c r="B511" s="9" t="str">
        <x:v>boundary-gate-daughter-of-kingdom</x:v>
      </x:c>
      <x:c r="C511" s="9" t="str">
        <x:v>NEC PC-FX</x:v>
      </x:c>
      <x:c r="D511" s="9" t="str">
        <x:v>Boundary Gate: Daughter of Kingdom</x:v>
      </x:c>
      <x:c r="E511" s="9" t="str"/>
      <x:c r="F511" s="9" t="str">
        <x:v>Pack-In-Video, Polestar, Studio OX</x:v>
      </x:c>
      <x:c r="G511" s="9" t="str">
        <x:v>NEC Home Electronics</x:v>
      </x:c>
      <x:c r="H511" s="9" t="n">
        <x:v>1997</x:v>
      </x:c>
      <x:c r="I511" s="9" t="str">
        <x:v>No</x:v>
      </x:c>
      <x:c r="J511" s="9" t="str">
        <x:v>Yes</x:v>
      </x:c>
      <x:c r="K511" s="9" t="str">
        <x:v>No</x:v>
      </x:c>
      <x:c r="L511" s="9" t="str">
        <x:v>No</x:v>
      </x:c>
      <x:c r="M511" s="9" t="str">
        <x:v>First-person dungeon RPG</x:v>
      </x:c>
      <x:c r="N511" s="9" t="str">
        <x:v>Animated</x:v>
      </x:c>
      <x:c r="O511" s="9" t="n">
        <x:v>3</x:v>
      </x:c>
      <x:c r="P511" s="9" t="str">
        <x:v>Cutscenes only</x:v>
      </x:c>
      <x:c r="Q511" s="9" t="str">
        <x:v>Released</x:v>
      </x:c>
      <x:c r="R511" s="9" t="str">
        <x:v>Original production</x:v>
      </x:c>
      <x:c r="S511" s="9" t="str">
        <x:v>None (PC-FX exclusive) — verify</x:v>
      </x:c>
      <x:c r="T511" s="9" t="str">
        <x:v>—</x:v>
      </x:c>
      <x:c r="U511" s="9" t="n">
        <x:v>1</x:v>
      </x:c>
      <x:c r="V511" s="9" t="str">
        <x:v>Yes (PC-FX internal backup RAM) — verify</x:v>
      </x:c>
      <x:c r="W511" s="9" t="str">
        <x:v>PC-FX pad; none required</x:v>
      </x:c>
      <x:c r="X511" s="9" t="str">
        <x:v>Low</x:v>
      </x:c>
      <x:c r="Y511" s="9" t="str"/>
      <x:c r="Z511" s="9" t="str">
        <x:v>15–25 hr (verify)</x:v>
      </x:c>
      <x:c r="AA511" s="9" t="str">
        <x:v>A first-person 3D dungeon RPG where voiced anime video carries the story and even the attack animations.</x:v>
      </x:c>
      <x:c r="AB511" s="9" t="str">
        <x:v>None known</x:v>
      </x:c>
      <x:c r="AC511" s="9" t="str">
        <x:v>Voiced anime FMV for story scenes and animated attacks (verify); Full-screen (256×240) JPEG-compressed anime video decoded by the PC-FX's HuC6272 'King' chip, typically 15–30 fps with clean colour for 1994–98</x:v>
      </x:c>
      <x:c r="AD511" s="9" t="str">
        <x:v>Dungeon crawling; moderate</x:v>
      </x:c>
      <x:c r="AE511" s="9" t="str">
        <x:v>Linear (verify)</x:v>
      </x:c>
      <x:c r="AF511" s="9" t="str">
        <x:v>Story follows Finn, an adventurer serving a princess as war breaks out (retrododo).</x:v>
      </x:c>
      <x:c r="AG511" s="9" t="str">
        <x:v>Standard Japanese release only (verify)</x:v>
      </x:c>
      <x:c r="AH511" s="9" t="str">
        <x:v>No</x:v>
      </x:c>
      <x:c r="AI511" s="9" t="str">
        <x:v>Import</x:v>
      </x:c>
      <x:c r="AJ511" s="9" t="str">
        <x:v>Original Japanese PC-FX (no region lock issue on a JP console); emulation via Mednafen or RetroArch Beetle PC-FX (needs pcfx.rom BIOS). No English fan translation known (verify).</x:v>
      </x:c>
      <x:c r="AK511" s="9" t="str">
        <x:v>Japan-only. Japanese reading needed for story/menus; dungeon play partly navigable without. FMV rating 3 is an estimate (verify). No English fan translation known (verify).</x:v>
      </x:c>
      <x:c r="AL511" s="10" t="n">
        <x:v>44.97</x:v>
      </x:c>
      <x:c r="AM511" s="10" t="n">
        <x:v>73.67</x:v>
      </x:c>
      <x:c r="AN511" s="10" t="n">
        <x:v>147</x:v>
      </x:c>
      <x:c r="AO511" s="9" t="str">
        <x:v>2026-10-24</x:v>
      </x:c>
      <x:c r="AP511" s="11" t="str">
        <x:f>HYPERLINK("https://www.pricecharting.com/search-products?q=Boundary+Gate%3A+Daughter+of+Kingdom+pc-fx&amp;type=prices","PriceCharting")</x:f>
        <x:v>PriceCharting</x:v>
      </x:c>
      <x:c r="AQ511" s="9"/>
      <x:c r="AR511" s="9"/>
      <x:c r="AS511" s="9"/>
      <x:c r="AT511" s="9"/>
      <x:c r="AU511" s="9"/>
      <x:c r="AV511" s="9"/>
      <x:c r="AW511" s="9"/>
      <x:c r="AX511" s="9"/>
      <x:c r="AY511" s="9"/>
      <x:c r="AZ511" s="9"/>
      <x:c r="BA511" s="11" t="str">
        <x:f>HYPERLINK("https://www.mobygames.com/game/43180/boundary-gate-daughter-of-kingdom/","MobyGames")</x:f>
        <x:v>MobyGames</x:v>
      </x:c>
      <x:c r="BB511" s="9"/>
      <x:c r="BC511" s="9"/>
      <x:c r="BD511" s="9"/>
      <x:c r="BE511" s="9"/>
      <x:c r="BF511" s="11" t="str">
        <x:f>HYPERLINK("https://backloggd.com/search/games/Boundary%20Gate%3A%20Daughter%20of%20Kingdom/","Backloggd")</x:f>
        <x:v>Backloggd</x:v>
      </x:c>
      <x:c r="BG511" s="9"/>
      <x:c r="BH511" s="9"/>
      <x:c r="BI511" s="12" t="str">
        <x:v>No</x:v>
      </x:c>
      <x:c r="BJ511" s="12" t="str"/>
      <x:c r="BK511" s="12" t="str">
        <x:v>No</x:v>
      </x:c>
      <x:c r="BL511" s="12" t="str"/>
      <x:c r="BM511" s="12" t="str"/>
      <x:c r="BN511" s="12" t="str"/>
      <x:c r="BO511" s="12" t="str"/>
      <x:c r="BP511" s="12" t="str"/>
      <x:c r="BQ511" s="12" t="str"/>
    </x:row>
    <x:row r="512">
      <x:c r="A512" s="9" t="str">
        <x:v>pcfx-22</x:v>
      </x:c>
      <x:c r="B512" s="9" t="str">
        <x:v>fire-woman-matoi-gumi</x:v>
      </x:c>
      <x:c r="C512" s="9" t="str">
        <x:v>NEC PC-FX</x:v>
      </x:c>
      <x:c r="D512" s="9" t="str">
        <x:v>Fire Woman: Matoi-gumi</x:v>
      </x:c>
      <x:c r="E512" s="9" t="str"/>
      <x:c r="F512" s="9" t="str">
        <x:v>HuneX</x:v>
      </x:c>
      <x:c r="G512" s="9" t="str">
        <x:v>Tokuma Shoten Intermedia</x:v>
      </x:c>
      <x:c r="H512" s="9" t="n">
        <x:v>1996</x:v>
      </x:c>
      <x:c r="I512" s="9" t="str">
        <x:v>No</x:v>
      </x:c>
      <x:c r="J512" s="9" t="str">
        <x:v>Yes</x:v>
      </x:c>
      <x:c r="K512" s="9" t="str">
        <x:v>No</x:v>
      </x:c>
      <x:c r="L512" s="9" t="str">
        <x:v>No</x:v>
      </x:c>
      <x:c r="M512" s="9" t="str">
        <x:v>Dating sim / adventure</x:v>
      </x:c>
      <x:c r="N512" s="9" t="str">
        <x:v>Animated</x:v>
      </x:c>
      <x:c r="O512" s="9" t="n">
        <x:v>3</x:v>
      </x:c>
      <x:c r="P512" s="9" t="str">
        <x:v>Cutscenes only</x:v>
      </x:c>
      <x:c r="Q512" s="9" t="str">
        <x:v>Released</x:v>
      </x:c>
      <x:c r="R512" s="9" t="str">
        <x:v>Original production</x:v>
      </x:c>
      <x:c r="S512" s="9" t="str">
        <x:v>None (PC-FX exclusive) — verify</x:v>
      </x:c>
      <x:c r="T512" s="9" t="str">
        <x:v>—</x:v>
      </x:c>
      <x:c r="U512" s="9" t="n">
        <x:v>1</x:v>
      </x:c>
      <x:c r="V512" s="9" t="str">
        <x:v>Yes (PC-FX internal backup RAM) — verify</x:v>
      </x:c>
      <x:c r="W512" s="9" t="str">
        <x:v>PC-FX pad; none required</x:v>
      </x:c>
      <x:c r="X512" s="9" t="str">
        <x:v>Low</x:v>
      </x:c>
      <x:c r="Y512" s="9" t="str"/>
      <x:c r="Z512" s="9" t="str">
        <x:v>5–10 hr (verify)</x:v>
      </x:c>
      <x:c r="AA512" s="9" t="str">
        <x:v>A dating sim about a man joining an all-woman fire brigade, padded out with HuneX's anime video.</x:v>
      </x:c>
      <x:c r="AB512" s="9" t="str">
        <x:v>None known</x:v>
      </x:c>
      <x:c r="AC512" s="9" t="str">
        <x:v>Anime FMV events (verify amount); Full-screen (256×240) JPEG-compressed anime video decoded by the PC-FX's HuC6272 'King' chip, typically 15–30 fps with clean colour for 1994–98</x:v>
      </x:c>
      <x:c r="AD512" s="9" t="str">
        <x:v>Low; choice-driven</x:v>
      </x:c>
      <x:c r="AE512" s="9" t="str">
        <x:v>Multiple heroine endings (verify)</x:v>
      </x:c>
      <x:c r="AF512" s="9" t="str">
        <x:v>One of the few PC-FX titles not published by NEC; HuneX did much of the system's anime-heavy work.</x:v>
      </x:c>
      <x:c r="AG512" s="9" t="str">
        <x:v>Standard Japanese release only (verify)</x:v>
      </x:c>
      <x:c r="AH512" s="9" t="str">
        <x:v>No</x:v>
      </x:c>
      <x:c r="AI512" s="9" t="str">
        <x:v>Import</x:v>
      </x:c>
      <x:c r="AJ512" s="9" t="str">
        <x:v>Original Japanese PC-FX (no region lock issue on a JP console); emulation via Mednafen or RetroArch Beetle PC-FX (needs pcfx.rom BIOS). No English fan translation known (verify).</x:v>
      </x:c>
      <x:c r="AK512" s="9" t="str">
        <x:v>Japan-only. Heavy Japanese reading required. FMV amount not confirmed; rated 3 (verify). No English fan translation known (verify).</x:v>
      </x:c>
      <x:c r="AL512" s="10"/>
      <x:c r="AM512" s="10" t="n">
        <x:v>69.99</x:v>
      </x:c>
      <x:c r="AN512" s="10" t="n">
        <x:v>140</x:v>
      </x:c>
      <x:c r="AO512" s="9" t="str">
        <x:v>2026-10-24</x:v>
      </x:c>
      <x:c r="AP512" s="11" t="str">
        <x:f>HYPERLINK("https://www.pricecharting.com/search-products?q=Fire+Woman%3A+Matoi-gumi+pc-fx&amp;type=prices","PriceCharting")</x:f>
        <x:v>PriceCharting</x:v>
      </x:c>
      <x:c r="AQ512" s="9"/>
      <x:c r="AR512" s="9"/>
      <x:c r="AS512" s="9"/>
      <x:c r="AT512" s="9"/>
      <x:c r="AU512" s="9"/>
      <x:c r="AV512" s="9"/>
      <x:c r="AW512" s="9"/>
      <x:c r="AX512" s="9"/>
      <x:c r="AY512" s="9"/>
      <x:c r="AZ512" s="9" t="str">
        <x:v>4.4</x:v>
      </x:c>
      <x:c r="BA512" s="11" t="str">
        <x:f>HYPERLINK("https://www.mobygames.com/game/pc-fx/fire-woman-matoi-gumi","MobyGames")</x:f>
        <x:v>MobyGames</x:v>
      </x:c>
      <x:c r="BB512" s="9"/>
      <x:c r="BC512" s="9"/>
      <x:c r="BD512" s="9"/>
      <x:c r="BE512" s="9"/>
      <x:c r="BF512" s="11" t="str">
        <x:f>HYPERLINK("https://backloggd.com/search/games/Fire%20Woman%3A%20Matoi-gumi/","Backloggd")</x:f>
        <x:v>Backloggd</x:v>
      </x:c>
      <x:c r="BG512" s="9"/>
      <x:c r="BH512" s="9"/>
      <x:c r="BI512" s="12" t="str">
        <x:v>No</x:v>
      </x:c>
      <x:c r="BJ512" s="12" t="str"/>
      <x:c r="BK512" s="12" t="str">
        <x:v>No</x:v>
      </x:c>
      <x:c r="BL512" s="12" t="str"/>
      <x:c r="BM512" s="12" t="str"/>
      <x:c r="BN512" s="12" t="str"/>
      <x:c r="BO512" s="12" t="str"/>
      <x:c r="BP512" s="12" t="str"/>
      <x:c r="BQ512" s="12" t="str"/>
    </x:row>
    <x:row r="513">
      <x:c r="A513" s="9" t="str">
        <x:v>pcfx-23</x:v>
      </x:c>
      <x:c r="B513" s="9" t="str">
        <x:v>makeruna-makendo-z</x:v>
      </x:c>
      <x:c r="C513" s="9" t="str">
        <x:v>NEC PC-FX</x:v>
      </x:c>
      <x:c r="D513" s="9" t="str">
        <x:v>Makeruna! Makendō Z</x:v>
      </x:c>
      <x:c r="E513" s="9" t="str"/>
      <x:c r="F513" s="9" t="str">
        <x:v>Fill-in-Cafe, Sugeiya</x:v>
      </x:c>
      <x:c r="G513" s="9" t="str">
        <x:v>NEC Home Electronics</x:v>
      </x:c>
      <x:c r="H513" s="9" t="n">
        <x:v>1998</x:v>
      </x:c>
      <x:c r="I513" s="9" t="str">
        <x:v>No</x:v>
      </x:c>
      <x:c r="J513" s="9" t="str">
        <x:v>Yes</x:v>
      </x:c>
      <x:c r="K513" s="9" t="str">
        <x:v>No</x:v>
      </x:c>
      <x:c r="L513" s="9" t="str">
        <x:v>No</x:v>
      </x:c>
      <x:c r="M513" s="9" t="str">
        <x:v>RPG</x:v>
      </x:c>
      <x:c r="N513" s="9" t="str">
        <x:v>Animated</x:v>
      </x:c>
      <x:c r="O513" s="9" t="n">
        <x:v>2</x:v>
      </x:c>
      <x:c r="P513" s="9" t="str">
        <x:v>Cutscenes only</x:v>
      </x:c>
      <x:c r="Q513" s="9" t="str">
        <x:v>Released</x:v>
      </x:c>
      <x:c r="R513" s="9" t="str">
        <x:v>Makeruna! Makendō series (Datam Polystar, SNES/PC Engine)</x:v>
      </x:c>
      <x:c r="S513" s="9" t="str">
        <x:v>None (PC-FX exclusive) — verify</x:v>
      </x:c>
      <x:c r="T513" s="9" t="str">
        <x:v>—</x:v>
      </x:c>
      <x:c r="U513" s="9" t="n">
        <x:v>1</x:v>
      </x:c>
      <x:c r="V513" s="9" t="str">
        <x:v>Yes (PC-FX internal backup RAM) — verify</x:v>
      </x:c>
      <x:c r="W513" s="9" t="str">
        <x:v>PC-FX pad; none required</x:v>
      </x:c>
      <x:c r="X513" s="9" t="str">
        <x:v>Low</x:v>
      </x:c>
      <x:c r="Y513" s="9" t="str"/>
      <x:c r="Z513" s="9" t="str">
        <x:v>10–20 hr (verify)</x:v>
      </x:c>
      <x:c r="AA513" s="9" t="str">
        <x:v>The parody heroine series' last outing, a late PC-FX RPG that is now one of the system's priciest discs.</x:v>
      </x:c>
      <x:c r="AB513" s="9" t="str">
        <x:v>None known</x:v>
      </x:c>
      <x:c r="AC513" s="9" t="str">
        <x:v>Anime FMV cutscenes (verify amount); Full-screen (256×240) JPEG-compressed anime video decoded by the PC-FX's HuC6272 'King' chip, typically 15–30 fps with clean colour for 1994–98</x:v>
      </x:c>
      <x:c r="AD513" s="9" t="str">
        <x:v>Unknown — verify</x:v>
      </x:c>
      <x:c r="AE513" s="9" t="str">
        <x:v>Linear (verify)</x:v>
      </x:c>
      <x:c r="AF513" s="9" t="str">
        <x:v>Released 20 March 1998, among the very last PC-FX games.</x:v>
      </x:c>
      <x:c r="AG513" s="9" t="str">
        <x:v>Standard Japanese release only (verify)</x:v>
      </x:c>
      <x:c r="AH513" s="9" t="str">
        <x:v>No</x:v>
      </x:c>
      <x:c r="AI513" s="9" t="str">
        <x:v>Expensive</x:v>
      </x:c>
      <x:c r="AJ513" s="9" t="str">
        <x:v>Original Japanese PC-FX (no region lock issue on a JP console); emulation via Mednafen or RetroArch Beetle PC-FX (needs pcfx.rom BIOS). No English fan translation known (verify).</x:v>
      </x:c>
      <x:c r="AK513" s="9" t="str">
        <x:v>Japan-only. Japanese reading required. Rare late release (CIB about $485 on PriceCharting). FMV amount not confirmed (verify). No English fan translation known (verify).</x:v>
      </x:c>
      <x:c r="AL513" s="10"/>
      <x:c r="AM513" s="10" t="n">
        <x:v>484.99</x:v>
      </x:c>
      <x:c r="AN513" s="10" t="n">
        <x:v>970</x:v>
      </x:c>
      <x:c r="AO513" s="9" t="str">
        <x:v>2026-10-24</x:v>
      </x:c>
      <x:c r="AP513" s="11" t="str">
        <x:f>HYPERLINK("https://www.pricecharting.com/search-products?q=Makeruna%21+Makend%C5%8D+Z+pc-fx&amp;type=prices","PriceCharting")</x:f>
        <x:v>PriceCharting</x:v>
      </x:c>
      <x:c r="AQ513" s="9"/>
      <x:c r="AR513" s="9"/>
      <x:c r="AS513" s="9"/>
      <x:c r="AT513" s="9"/>
      <x:c r="AU513" s="9"/>
      <x:c r="AV513" s="9"/>
      <x:c r="AW513" s="9"/>
      <x:c r="AX513" s="9"/>
      <x:c r="AY513" s="9"/>
      <x:c r="AZ513" s="9"/>
      <x:c r="BA513" s="11" t="str">
        <x:f>HYPERLINK("https://www.mobygames.com/game/42618/makeruna-makendo-z/","MobyGames")</x:f>
        <x:v>MobyGames</x:v>
      </x:c>
      <x:c r="BB513" s="9"/>
      <x:c r="BC513" s="9"/>
      <x:c r="BD513" s="9"/>
      <x:c r="BE513" s="9"/>
      <x:c r="BF513" s="11" t="str">
        <x:f>HYPERLINK("https://backloggd.com/search/games/Makeruna%21%20Makend%C5%8D%20Z/","Backloggd")</x:f>
        <x:v>Backloggd</x:v>
      </x:c>
      <x:c r="BG513" s="9"/>
      <x:c r="BH513" s="9"/>
      <x:c r="BI513" s="12" t="str">
        <x:v>No</x:v>
      </x:c>
      <x:c r="BJ513" s="12" t="str"/>
      <x:c r="BK513" s="12" t="str">
        <x:v>No</x:v>
      </x:c>
      <x:c r="BL513" s="12" t="str"/>
      <x:c r="BM513" s="12" t="str"/>
      <x:c r="BN513" s="12" t="str"/>
      <x:c r="BO513" s="12" t="str"/>
      <x:c r="BP513" s="12" t="str"/>
      <x:c r="BQ513" s="12" t="str"/>
    </x:row>
    <x:row r="514">
      <x:c r="A514" s="9" t="str">
        <x:v>pcfx-24</x:v>
      </x:c>
      <x:c r="B514" s="9" t="str">
        <x:v>ruruli-ra-rura</x:v>
      </x:c>
      <x:c r="C514" s="9" t="str">
        <x:v>NEC PC-FX</x:v>
      </x:c>
      <x:c r="D514" s="9" t="str">
        <x:v>Ruruli Ra Rura</x:v>
      </x:c>
      <x:c r="E514" s="9" t="str"/>
      <x:c r="F514" s="9" t="str">
        <x:v>NEC Home Electronics (verify)</x:v>
      </x:c>
      <x:c r="G514" s="9" t="str">
        <x:v>NEC Home Electronics</x:v>
      </x:c>
      <x:c r="H514" s="9" t="n">
        <x:v>1998</x:v>
      </x:c>
      <x:c r="I514" s="9" t="str">
        <x:v>No</x:v>
      </x:c>
      <x:c r="J514" s="9" t="str">
        <x:v>Yes</x:v>
      </x:c>
      <x:c r="K514" s="9" t="str">
        <x:v>No</x:v>
      </x:c>
      <x:c r="L514" s="9" t="str">
        <x:v>No</x:v>
      </x:c>
      <x:c r="M514" s="9" t="str">
        <x:v>Puzzle platformer</x:v>
      </x:c>
      <x:c r="N514" s="9" t="str">
        <x:v>Animated</x:v>
      </x:c>
      <x:c r="O514" s="9" t="n">
        <x:v>2</x:v>
      </x:c>
      <x:c r="P514" s="9" t="str">
        <x:v>Cutscenes only</x:v>
      </x:c>
      <x:c r="Q514" s="9" t="str">
        <x:v>Released</x:v>
      </x:c>
      <x:c r="R514" s="9" t="str">
        <x:v>Original production</x:v>
      </x:c>
      <x:c r="S514" s="9" t="str">
        <x:v>None (PC-FX exclusive) — verify</x:v>
      </x:c>
      <x:c r="T514" s="9" t="str">
        <x:v>—</x:v>
      </x:c>
      <x:c r="U514" s="9" t="n">
        <x:v>1</x:v>
      </x:c>
      <x:c r="V514" s="9" t="str">
        <x:v>Unknown — verify</x:v>
      </x:c>
      <x:c r="W514" s="9" t="str">
        <x:v>PC-FX pad; none required</x:v>
      </x:c>
      <x:c r="X514" s="9" t="str">
        <x:v>Low</x:v>
      </x:c>
      <x:c r="Y514" s="9" t="str"/>
      <x:c r="Z514" s="9" t="str">
        <x:v>2–4 hr (verify)</x:v>
      </x:c>
      <x:c r="AA514" s="9" t="str">
        <x:v>A late, cheerful PC-FX puzzle platformer with anime FMV, and one of the few on the system with an English patch.</x:v>
      </x:c>
      <x:c r="AB514" s="9" t="str">
        <x:v>None known</x:v>
      </x:c>
      <x:c r="AC514" s="9" t="str">
        <x:v>Anime FMV sequences (story); Full-screen (256×240) JPEG-compressed anime video decoded by the PC-FX's HuC6272 'King' chip, typically 15–30 fps with clean colour for 1994–98</x:v>
      </x:c>
      <x:c r="AD514" s="9" t="str">
        <x:v>Moderate puzzle-platforming (verify)</x:v>
      </x:c>
      <x:c r="AE514" s="9" t="str">
        <x:v>Linear (verify)</x:v>
      </x:c>
      <x:c r="AF514" s="9" t="str">
        <x:v>Released 20 February 1998, near the end of the PC-FX's life.</x:v>
      </x:c>
      <x:c r="AG514" s="9" t="str">
        <x:v>Standard Japanese release only (verify)</x:v>
      </x:c>
      <x:c r="AH514" s="9" t="str">
        <x:v>No</x:v>
      </x:c>
      <x:c r="AI514" s="9" t="str">
        <x:v>Import</x:v>
      </x:c>
      <x:c r="AJ514" s="9" t="str">
        <x:v>Original Japanese PC-FX (no region lock issue on a JP console); emulation via Mednafen or RetroArch Beetle PC-FX (needs pcfx.rom BIOS); partial English patch by Nekozomb (2008, FMV unsubtitled).</x:v>
      </x:c>
      <x:c r="AK514" s="9" t="str">
        <x:v>Japan-only. Playable without Japanese. Partial English fan patch by Nekozomb (v1, 20 Apr 2008, marked incomplete; FMV not subtitled).</x:v>
      </x:c>
      <x:c r="AL514" s="10"/>
      <x:c r="AM514" s="10"/>
      <x:c r="AN514" s="10"/>
      <x:c r="AO514" s="9"/>
      <x:c r="AP514" s="11" t="str">
        <x:f>HYPERLINK("https://www.pricecharting.com/search-products?q=Ruruli+Ra+Rura+pc-fx&amp;type=prices","PriceCharting")</x:f>
        <x:v>PriceCharting</x:v>
      </x:c>
      <x:c r="AQ514" s="9"/>
      <x:c r="AR514" s="9"/>
      <x:c r="AS514" s="9"/>
      <x:c r="AT514" s="9"/>
      <x:c r="AU514" s="9"/>
      <x:c r="AV514" s="9"/>
      <x:c r="AW514" s="9"/>
      <x:c r="AX514" s="9"/>
      <x:c r="AY514" s="9"/>
      <x:c r="AZ514" s="9" t="str">
        <x:v>3.2</x:v>
      </x:c>
      <x:c r="BA514" s="11" t="str">
        <x:f>HYPERLINK("https://www.mobygames.com/game/pc-fx/rururi-ra-rura","MobyGames")</x:f>
        <x:v>MobyGames</x:v>
      </x:c>
      <x:c r="BB514" s="9"/>
      <x:c r="BC514" s="9"/>
      <x:c r="BD514" s="9"/>
      <x:c r="BE514" s="9"/>
      <x:c r="BF514" s="11" t="str">
        <x:f>HYPERLINK("https://backloggd.com/search/games/Ruruli%20Ra%20Rura/","Backloggd")</x:f>
        <x:v>Backloggd</x:v>
      </x:c>
      <x:c r="BG514" s="9"/>
      <x:c r="BH514" s="9"/>
      <x:c r="BI514" s="12" t="str">
        <x:v>No</x:v>
      </x:c>
      <x:c r="BJ514" s="12" t="str"/>
      <x:c r="BK514" s="12" t="str">
        <x:v>No</x:v>
      </x:c>
      <x:c r="BL514" s="12" t="str"/>
      <x:c r="BM514" s="12" t="str"/>
      <x:c r="BN514" s="12" t="str"/>
      <x:c r="BO514" s="12" t="str"/>
      <x:c r="BP514" s="12" t="str"/>
      <x:c r="BQ514" s="12" t="str"/>
    </x:row>
    <x:row r="515">
      <x:c r="A515" s="9" t="str">
        <x:v>pcfx-25</x:v>
      </x:c>
      <x:c r="B515" s="9" t="str">
        <x:v>chip-chan-kick</x:v>
      </x:c>
      <x:c r="C515" s="9" t="str">
        <x:v>NEC PC-FX</x:v>
      </x:c>
      <x:c r="D515" s="9" t="str">
        <x:v>Chip Chan Kick!</x:v>
      </x:c>
      <x:c r="E515" s="9" t="str"/>
      <x:c r="F515" s="9" t="str">
        <x:v>Cybertech Custom</x:v>
      </x:c>
      <x:c r="G515" s="9" t="str">
        <x:v>NEC Home Electronics</x:v>
      </x:c>
      <x:c r="H515" s="9" t="n">
        <x:v>1996</x:v>
      </x:c>
      <x:c r="I515" s="9" t="str">
        <x:v>No</x:v>
      </x:c>
      <x:c r="J515" s="9" t="str">
        <x:v>Yes</x:v>
      </x:c>
      <x:c r="K515" s="9" t="str">
        <x:v>No</x:v>
      </x:c>
      <x:c r="L515" s="9" t="str">
        <x:v>No</x:v>
      </x:c>
      <x:c r="M515" s="9" t="str">
        <x:v>Single-screen platformer</x:v>
      </x:c>
      <x:c r="N515" s="9" t="str">
        <x:v>Animated</x:v>
      </x:c>
      <x:c r="O515" s="9" t="n">
        <x:v>2</x:v>
      </x:c>
      <x:c r="P515" s="9" t="str">
        <x:v>Cutscenes only</x:v>
      </x:c>
      <x:c r="Q515" s="9" t="str">
        <x:v>Released</x:v>
      </x:c>
      <x:c r="R515" s="9" t="str">
        <x:v>Original production</x:v>
      </x:c>
      <x:c r="S515" s="9" t="str">
        <x:v>None (PC-FX exclusive) — verify</x:v>
      </x:c>
      <x:c r="T515" s="9" t="str">
        <x:v>Voice cast incl. Satomi Kōrogi, Yasunori Matsumoto</x:v>
      </x:c>
      <x:c r="U515" s="9" t="n">
        <x:v>1</x:v>
      </x:c>
      <x:c r="V515" s="9" t="str">
        <x:v>Unknown — verify</x:v>
      </x:c>
      <x:c r="W515" s="9" t="str">
        <x:v>PC-FX pad; none required</x:v>
      </x:c>
      <x:c r="X515" s="9" t="str">
        <x:v>Low</x:v>
      </x:c>
      <x:c r="Y515" s="9" t="str"/>
      <x:c r="Z515" s="9" t="str">
        <x:v>2–3 hr (60 levels)</x:v>
      </x:c>
      <x:c r="AA515" s="9" t="str">
        <x:v>A Bubble Bobble-style single-screen platformer wrapped in a lengthy voiced anime intro, and now a $300+ disc.</x:v>
      </x:c>
      <x:c r="AB515" s="9" t="str">
        <x:v>None known</x:v>
      </x:c>
      <x:c r="AC515" s="9" t="str">
        <x:v>Long anime intro and voiced anime video sequences; Full-screen (256×240) JPEG-compressed anime video decoded by the PC-FX's HuC6272 'King' chip, typically 15–30 fps with clean colour for 1994–98</x:v>
      </x:c>
      <x:c r="AD515" s="9" t="str">
        <x:v>Challenging, cheap deaths; unlimited continues</x:v>
      </x:c>
      <x:c r="AE515" s="9" t="str">
        <x:v>Linear; six worlds then final boss Warbit</x:v>
      </x:c>
      <x:c r="AF515" s="9" t="str">
        <x:v>Reviewers compare it to Amiga games like Rod-Land and Qwak; it uses only three of the pad's six buttons. Two-player mode included.</x:v>
      </x:c>
      <x:c r="AG515" s="9" t="str">
        <x:v>Standard Japanese release only (verify)</x:v>
      </x:c>
      <x:c r="AH515" s="9" t="str">
        <x:v>No</x:v>
      </x:c>
      <x:c r="AI515" s="9" t="str">
        <x:v>Expensive</x:v>
      </x:c>
      <x:c r="AJ515" s="9" t="str">
        <x:v>Original Japanese PC-FX (no region lock issue on a JP console); emulation via Mednafen or RetroArch Beetle PC-FX (needs pcfx.rom BIOS). No English fan translation known (verify).</x:v>
      </x:c>
      <x:c r="AK515" s="9" t="str">
        <x:v>Japan-only. Playable without Japanese (story scenes are Japanese voice only). Loose price over $300. No English fan translation known (verify).</x:v>
      </x:c>
      <x:c r="AL515" s="10" t="n">
        <x:v>334.62</x:v>
      </x:c>
      <x:c r="AM515" s="10" t="n">
        <x:v>464.07</x:v>
      </x:c>
      <x:c r="AN515" s="10" t="n">
        <x:v>928</x:v>
      </x:c>
      <x:c r="AO515" s="9" t="str">
        <x:v>2026-10-24</x:v>
      </x:c>
      <x:c r="AP515" s="11" t="str">
        <x:f>HYPERLINK("https://www.pricecharting.com/search-products?q=Chip+Chan+Kick%21+pc-fx&amp;type=prices","PriceCharting")</x:f>
        <x:v>PriceCharting</x:v>
      </x:c>
      <x:c r="AQ515" s="9"/>
      <x:c r="AR515" s="9"/>
      <x:c r="AS515" s="9"/>
      <x:c r="AT515" s="9"/>
      <x:c r="AU515" s="9"/>
      <x:c r="AV515" s="9"/>
      <x:c r="AW515" s="9"/>
      <x:c r="AX515" s="9"/>
      <x:c r="AY515" s="9"/>
      <x:c r="AZ515" s="9" t="str">
        <x:v>3.5</x:v>
      </x:c>
      <x:c r="BA515" s="11" t="str">
        <x:f>HYPERLINK("https://www.mobygames.com/game/pc-fx/chip-chan-kick","MobyGames")</x:f>
        <x:v>MobyGames</x:v>
      </x:c>
      <x:c r="BB515" s="9"/>
      <x:c r="BC515" s="9"/>
      <x:c r="BD515" s="9"/>
      <x:c r="BE515" s="9"/>
      <x:c r="BF515" s="11" t="str">
        <x:f>HYPERLINK("https://backloggd.com/search/games/Chip%20Chan%20Kick%21/","Backloggd")</x:f>
        <x:v>Backloggd</x:v>
      </x:c>
      <x:c r="BG515" s="9"/>
      <x:c r="BH515" s="9"/>
      <x:c r="BI515" s="12" t="str">
        <x:v>No</x:v>
      </x:c>
      <x:c r="BJ515" s="12" t="str"/>
      <x:c r="BK515" s="12" t="str">
        <x:v>No</x:v>
      </x:c>
      <x:c r="BL515" s="12" t="str"/>
      <x:c r="BM515" s="12" t="str"/>
      <x:c r="BN515" s="12" t="str"/>
      <x:c r="BO515" s="12" t="str"/>
      <x:c r="BP515" s="12" t="str"/>
      <x:c r="BQ515" s="12" t="str"/>
    </x:row>
    <x:row r="516">
      <x:c r="A516" s="9" t="str">
        <x:v>pcfx-26</x:v>
      </x:c>
      <x:c r="B516" s="9" t="str">
        <x:v>angelique-special</x:v>
      </x:c>
      <x:c r="C516" s="9" t="str">
        <x:v>NEC PC-FX</x:v>
      </x:c>
      <x:c r="D516" s="9" t="str">
        <x:v>Angelique Special</x:v>
      </x:c>
      <x:c r="E516" s="9" t="str"/>
      <x:c r="F516" s="9" t="str">
        <x:v>Koei (Ruby Party)</x:v>
      </x:c>
      <x:c r="G516" s="9" t="str">
        <x:v>NEC Home Electronics (PC-FX); Koei (other versions)</x:v>
      </x:c>
      <x:c r="H516" s="9" t="n">
        <x:v>1995</x:v>
      </x:c>
      <x:c r="I516" s="9" t="str">
        <x:v>No</x:v>
      </x:c>
      <x:c r="J516" s="9" t="str">
        <x:v>Yes</x:v>
      </x:c>
      <x:c r="K516" s="9" t="str">
        <x:v>No</x:v>
      </x:c>
      <x:c r="L516" s="9" t="str">
        <x:v>No</x:v>
      </x:c>
      <x:c r="M516" s="9" t="str">
        <x:v>Otome dating sim / strategy</x:v>
      </x:c>
      <x:c r="N516" s="9" t="str">
        <x:v>Animated</x:v>
      </x:c>
      <x:c r="O516" s="9" t="n">
        <x:v>2</x:v>
      </x:c>
      <x:c r="P516" s="9" t="str">
        <x:v>Cutscenes only</x:v>
      </x:c>
      <x:c r="Q516" s="9" t="str">
        <x:v>Released</x:v>
      </x:c>
      <x:c r="R516" s="9" t="str">
        <x:v>Enhanced remake of Angelique (Koei, SNES 1994)</x:v>
      </x:c>
      <x:c r="S516" s="9" t="str">
        <x:v>PlayStation, Saturn (Angelique Special) — verify</x:v>
      </x:c>
      <x:c r="T516" s="9" t="str">
        <x:v>—</x:v>
      </x:c>
      <x:c r="U516" s="9" t="n">
        <x:v>1</x:v>
      </x:c>
      <x:c r="V516" s="9" t="str">
        <x:v>Yes (PC-FX internal backup RAM) — verify</x:v>
      </x:c>
      <x:c r="W516" s="9" t="str">
        <x:v>PC-FX pad; none required</x:v>
      </x:c>
      <x:c r="X516" s="9" t="str">
        <x:v>Low–Med</x:v>
      </x:c>
      <x:c r="Y516" s="9" t="str">
        <x:v>Vocal theme songs (verify)</x:v>
      </x:c>
      <x:c r="Z516" s="9" t="str">
        <x:v>5–10 hr per run (verify)</x:v>
      </x:c>
      <x:c r="AA516" s="9" t="str">
        <x:v>The first otome game, remade with voiced anime scenes; the PC-FX got the Special edition first.</x:v>
      </x:c>
      <x:c r="AB516" s="9" t="str">
        <x:v>None known</x:v>
      </x:c>
      <x:c r="AC516" s="9" t="str">
        <x:v>Anime FMV events with voice (verify amount); Full-screen (256×240) JPEG-compressed anime video decoded by the PC-FX's HuC6272 'King' chip, typically 15–30 fps with clean colour for 1994–98</x:v>
      </x:c>
      <x:c r="AD516" s="9" t="str">
        <x:v>Low</x:v>
      </x:c>
      <x:c r="AE516" s="9" t="str">
        <x:v>Multiple: become Queen, or romance one of the Guardians</x:v>
      </x:c>
      <x:c r="AF516" s="9" t="str">
        <x:v>Angelique (1994) is widely credited as the first otome game, made by Koei's all-female Ruby Party team.</x:v>
      </x:c>
      <x:c r="AG516" s="9" t="str">
        <x:v>Standard Japanese release only (verify)</x:v>
      </x:c>
      <x:c r="AH516" s="9" t="str">
        <x:v>No</x:v>
      </x:c>
      <x:c r="AI516" s="9" t="str">
        <x:v>Import</x:v>
      </x:c>
      <x:c r="AJ516" s="9" t="str">
        <x:v>Original Japanese PC-FX (no region lock issue on a JP console); emulation via Mednafen or RetroArch Beetle PC-FX (needs pcfx.rom BIOS). No English fan translation known (verify).</x:v>
      </x:c>
      <x:c r="AK516" s="9" t="str">
        <x:v>Japan-only. Heavy Japanese reading required. FMV amount not confirmed (verify). No English fan translation known (verify).</x:v>
      </x:c>
      <x:c r="AL516" s="10" t="n">
        <x:v>35</x:v>
      </x:c>
      <x:c r="AM516" s="10" t="n">
        <x:v>57.49</x:v>
      </x:c>
      <x:c r="AN516" s="10" t="n">
        <x:v>115</x:v>
      </x:c>
      <x:c r="AO516" s="9" t="str">
        <x:v>2026-10-24</x:v>
      </x:c>
      <x:c r="AP516" s="11" t="str">
        <x:f>HYPERLINK("https://www.pricecharting.com/search-products?q=Angelique+Special+pc-fx&amp;type=prices","PriceCharting")</x:f>
        <x:v>PriceCharting</x:v>
      </x:c>
      <x:c r="AQ516" s="9"/>
      <x:c r="AR516" s="9"/>
      <x:c r="AS516" s="9"/>
      <x:c r="AT516" s="9"/>
      <x:c r="AU516" s="9"/>
      <x:c r="AV516" s="9"/>
      <x:c r="AW516" s="9"/>
      <x:c r="AX516" s="9"/>
      <x:c r="AY516" s="9"/>
      <x:c r="AZ516" s="9" t="str">
        <x:v>2.9</x:v>
      </x:c>
      <x:c r="BA516" s="11" t="str">
        <x:f>HYPERLINK("https://www.mobygames.com/game/pc-fx/angelique-special","MobyGames")</x:f>
        <x:v>MobyGames</x:v>
      </x:c>
      <x:c r="BB516" s="9"/>
      <x:c r="BC516" s="9"/>
      <x:c r="BD516" s="9"/>
      <x:c r="BE516" s="11" t="str">
        <x:f>HYPERLINK("https://en.wikipedia.org/wiki/Angelique_(video_game)","Wikipedia")</x:f>
        <x:v>Wikipedia</x:v>
      </x:c>
      <x:c r="BF516" s="11" t="str">
        <x:f>HYPERLINK("https://backloggd.com/search/games/Angelique%20Special/","Backloggd")</x:f>
        <x:v>Backloggd</x:v>
      </x:c>
      <x:c r="BG516" s="9"/>
      <x:c r="BH516" s="9"/>
      <x:c r="BI516" s="12" t="str">
        <x:v>No</x:v>
      </x:c>
      <x:c r="BJ516" s="12" t="str"/>
      <x:c r="BK516" s="12" t="str">
        <x:v>No</x:v>
      </x:c>
      <x:c r="BL516" s="12" t="str"/>
      <x:c r="BM516" s="12" t="str"/>
      <x:c r="BN516" s="12" t="str"/>
      <x:c r="BO516" s="12" t="str"/>
      <x:c r="BP516" s="12" t="str"/>
      <x:c r="BQ516" s="12" t="str"/>
    </x:row>
    <x:row r="517">
      <x:c r="A517" s="9" t="str">
        <x:v>pcfx-27</x:v>
      </x:c>
      <x:c r="B517" s="9" t="str">
        <x:v>akazukin-cha-cha-osawagase-panic-race</x:v>
      </x:c>
      <x:c r="C517" s="9" t="str">
        <x:v>NEC PC-FX</x:v>
      </x:c>
      <x:c r="D517" s="9" t="str">
        <x:v>Akazukin Cha-Cha: Osawagase! Panic Race!</x:v>
      </x:c>
      <x:c r="E517" s="9" t="str">
        <x:v>Red Riding Hood Chacha: Panic Race!</x:v>
      </x:c>
      <x:c r="F517" s="9" t="str"/>
      <x:c r="G517" s="9" t="str">
        <x:v>NEC Home Electronics</x:v>
      </x:c>
      <x:c r="H517" s="9" t="n">
        <x:v>1996</x:v>
      </x:c>
      <x:c r="I517" s="9" t="str">
        <x:v>No</x:v>
      </x:c>
      <x:c r="J517" s="9" t="str">
        <x:v>Yes</x:v>
      </x:c>
      <x:c r="K517" s="9" t="str">
        <x:v>No</x:v>
      </x:c>
      <x:c r="L517" s="9" t="str">
        <x:v>No</x:v>
      </x:c>
      <x:c r="M517" s="9" t="str">
        <x:v>Board game</x:v>
      </x:c>
      <x:c r="N517" s="9" t="str">
        <x:v>Animated</x:v>
      </x:c>
      <x:c r="O517" s="9" t="n">
        <x:v>3</x:v>
      </x:c>
      <x:c r="P517" s="9" t="str">
        <x:v>Cutscenes only</x:v>
      </x:c>
      <x:c r="Q517" s="9" t="str">
        <x:v>Released</x:v>
      </x:c>
      <x:c r="R517" s="9" t="str">
        <x:v>Akazukin Chacha manga/TV anime (1994–95) licence</x:v>
      </x:c>
      <x:c r="S517" s="9" t="str">
        <x:v>None (PC-FX exclusive) — verify</x:v>
      </x:c>
      <x:c r="T517" s="9" t="str">
        <x:v>—</x:v>
      </x:c>
      <x:c r="U517" s="9" t="n">
        <x:v>1</x:v>
      </x:c>
      <x:c r="V517" s="9" t="str">
        <x:v>Unknown — verify</x:v>
      </x:c>
      <x:c r="W517" s="9" t="str">
        <x:v>PC-FX pad; none required</x:v>
      </x:c>
      <x:c r="X517" s="9" t="str">
        <x:v>Med</x:v>
      </x:c>
      <x:c r="Y517" s="9" t="str">
        <x:v>Anime licence: TV-series voice cast and possibly theme songs (verify)</x:v>
      </x:c>
      <x:c r="Z517" s="9" t="str">
        <x:v>1–2 hr per game</x:v>
      </x:c>
      <x:c r="AA517" s="9" t="str">
        <x:v>A Momotetsu-style party board game starring the Chacha TV anime cast, with anime clips between turns.</x:v>
      </x:c>
      <x:c r="AB517" s="9" t="str">
        <x:v>None known</x:v>
      </x:c>
      <x:c r="AC517" s="9" t="str">
        <x:v>Anime FMV events/cutscenes (verify amount); Full-screen (256×240) JPEG-compressed anime video decoded by the PC-FX's HuC6272 'King' chip, typically 15–30 fps with clean colour for 1994–98</x:v>
      </x:c>
      <x:c r="AD517" s="9" t="str">
        <x:v>Low; luck-driven</x:v>
      </x:c>
      <x:c r="AE517" s="9" t="str">
        <x:v>Per-game winner (verify)</x:v>
      </x:c>
      <x:c r="AF517" s="9" t="str">
        <x:v>A demo of it was on Anime Freak FX Vol. 1.</x:v>
      </x:c>
      <x:c r="AG517" s="9" t="str">
        <x:v>Standard Japanese release only (verify)</x:v>
      </x:c>
      <x:c r="AH517" s="9" t="str">
        <x:v>No</x:v>
      </x:c>
      <x:c r="AI517" s="9" t="str">
        <x:v>Import</x:v>
      </x:c>
      <x:c r="AJ517" s="9" t="str">
        <x:v>Original Japanese PC-FX (no region lock issue on a JP console); emulation via Mednafen or RetroArch Beetle PC-FX (needs pcfx.rom BIOS). No English fan translation known (verify).</x:v>
      </x:c>
      <x:c r="AK517" s="9" t="str">
        <x:v>Japan-only. Moderate Japanese reading (event squares, menus). FMV amount not confirmed (verify). No English fan translation known (verify).</x:v>
      </x:c>
      <x:c r="AL517" s="10" t="n">
        <x:v>70.5</x:v>
      </x:c>
      <x:c r="AM517" s="10" t="n">
        <x:v>138.33</x:v>
      </x:c>
      <x:c r="AN517" s="10" t="n">
        <x:v>173.68</x:v>
      </x:c>
      <x:c r="AO517" s="9" t="str">
        <x:v>2026-10-24</x:v>
      </x:c>
      <x:c r="AP517" s="11" t="str">
        <x:f>HYPERLINK("https://www.pricecharting.com/search-products?q=Akazukin+Cha-Cha%3A+Osawagase%21+Panic+Race%21+pc-fx&amp;type=prices","PriceCharting")</x:f>
        <x:v>PriceCharting</x:v>
      </x:c>
      <x:c r="AQ517" s="9"/>
      <x:c r="AR517" s="9"/>
      <x:c r="AS517" s="9"/>
      <x:c r="AT517" s="9"/>
      <x:c r="AU517" s="9"/>
      <x:c r="AV517" s="9"/>
      <x:c r="AW517" s="9"/>
      <x:c r="AX517" s="9"/>
      <x:c r="AY517" s="9"/>
      <x:c r="AZ517" s="9"/>
      <x:c r="BA517" s="11" t="str">
        <x:f>HYPERLINK("https://www.mobygames.com/game/42957/akazukin-cha-cha-osawagase-panic-race/","MobyGames")</x:f>
        <x:v>MobyGames</x:v>
      </x:c>
      <x:c r="BB517" s="9"/>
      <x:c r="BC517" s="9"/>
      <x:c r="BD517" s="9"/>
      <x:c r="BE517" s="11" t="str">
        <x:f>HYPERLINK("https://en.wikipedia.org/wiki/Akazukin_Chacha","Wikipedia")</x:f>
        <x:v>Wikipedia</x:v>
      </x:c>
      <x:c r="BF517" s="11" t="str">
        <x:f>HYPERLINK("https://backloggd.com/search/games/Akazukin%20Cha-Cha%3A%20Osawagase%21%20Panic%20Race%21/","Backloggd")</x:f>
        <x:v>Backloggd</x:v>
      </x:c>
      <x:c r="BG517" s="9"/>
      <x:c r="BH517" s="9"/>
      <x:c r="BI517" s="12" t="str">
        <x:v>No</x:v>
      </x:c>
      <x:c r="BJ517" s="12" t="str"/>
      <x:c r="BK517" s="12" t="str">
        <x:v>No</x:v>
      </x:c>
      <x:c r="BL517" s="12" t="str"/>
      <x:c r="BM517" s="12" t="str"/>
      <x:c r="BN517" s="12" t="str"/>
      <x:c r="BO517" s="12" t="str"/>
      <x:c r="BP517" s="12" t="str"/>
      <x:c r="BQ517" s="12" t="str"/>
    </x:row>
    <x:row r="518">
      <x:c r="A518" s="9" t="str">
        <x:v>pcfx-28</x:v>
      </x:c>
      <x:c r="B518" s="9" t="str">
        <x:v>megami-tengoku-ii</x:v>
      </x:c>
      <x:c r="C518" s="9" t="str">
        <x:v>NEC PC-FX</x:v>
      </x:c>
      <x:c r="D518" s="9" t="str">
        <x:v>Megami Tengoku II</x:v>
      </x:c>
      <x:c r="E518" s="9" t="str">
        <x:v>Goddess Heaven II</x:v>
      </x:c>
      <x:c r="F518" s="9" t="str">
        <x:v>HuneX</x:v>
      </x:c>
      <x:c r="G518" s="9" t="str">
        <x:v>NEC Home Electronics</x:v>
      </x:c>
      <x:c r="H518" s="9" t="n">
        <x:v>1996</x:v>
      </x:c>
      <x:c r="I518" s="9" t="str">
        <x:v>No</x:v>
      </x:c>
      <x:c r="J518" s="9" t="str">
        <x:v>Yes</x:v>
      </x:c>
      <x:c r="K518" s="9" t="str">
        <x:v>No</x:v>
      </x:c>
      <x:c r="L518" s="9" t="str">
        <x:v>No</x:v>
      </x:c>
      <x:c r="M518" s="9" t="str">
        <x:v>Life simulation (goddess-raising)</x:v>
      </x:c>
      <x:c r="N518" s="9" t="str">
        <x:v>Animated</x:v>
      </x:c>
      <x:c r="O518" s="9" t="n">
        <x:v>3</x:v>
      </x:c>
      <x:c r="P518" s="9" t="str">
        <x:v>Cutscenes only</x:v>
      </x:c>
      <x:c r="Q518" s="9" t="str">
        <x:v>Released</x:v>
      </x:c>
      <x:c r="R518" s="9" t="str">
        <x:v>Sequel to Megami Tengoku (PC Engine Super CD, 1995)</x:v>
      </x:c>
      <x:c r="S518" s="9" t="str">
        <x:v>None (PC-FX exclusive) — verify</x:v>
      </x:c>
      <x:c r="T518" s="9" t="str">
        <x:v>—</x:v>
      </x:c>
      <x:c r="U518" s="9" t="n">
        <x:v>1</x:v>
      </x:c>
      <x:c r="V518" s="9" t="str">
        <x:v>Yes (PC-FX internal backup RAM) — verify</x:v>
      </x:c>
      <x:c r="W518" s="9" t="str">
        <x:v>PC-FX pad; none required</x:v>
      </x:c>
      <x:c r="X518" s="9" t="str">
        <x:v>Low</x:v>
      </x:c>
      <x:c r="Y518" s="9" t="str"/>
      <x:c r="Z518" s="9" t="str">
        <x:v>5–10 hr (verify)</x:v>
      </x:c>
      <x:c r="AA518" s="9" t="str">
        <x:v>A goddess-raising sim from the PC-FX's anime era, with heroine Lilith promoted on NEC's own anime magazine discs.</x:v>
      </x:c>
      <x:c r="AB518" s="9" t="str">
        <x:v>None known</x:v>
      </x:c>
      <x:c r="AC518" s="9" t="str">
        <x:v>Anime movies (a Lilith movie collection featured on Anime Freak FX Vol. 1); Full-screen (256×240) JPEG-compressed anime video decoded by the PC-FX's HuC6272 'King' chip, typically 15–30 fps with clean colour for 1994–98</x:v>
      </x:c>
      <x:c r="AD518" s="9" t="str">
        <x:v>Low</x:v>
      </x:c>
      <x:c r="AE518" s="9" t="str">
        <x:v>Multiple (verify)</x:v>
      </x:c>
      <x:c r="AF518" s="9" t="str">
        <x:v>NEC used its Anime Freak FX magazine discs to promote the game.</x:v>
      </x:c>
      <x:c r="AG518" s="9" t="str">
        <x:v>Standard Japanese release only (verify)</x:v>
      </x:c>
      <x:c r="AH518" s="9" t="str">
        <x:v>No</x:v>
      </x:c>
      <x:c r="AI518" s="9" t="str">
        <x:v>Import</x:v>
      </x:c>
      <x:c r="AJ518" s="9" t="str">
        <x:v>Original Japanese PC-FX (no region lock issue on a JP console); emulation via Mednafen or RetroArch Beetle PC-FX (needs pcfx.rom BIOS). No English fan translation known (verify).</x:v>
      </x:c>
      <x:c r="AK518" s="9" t="str">
        <x:v>Japan-only. Heavy Japanese reading required. FMV rated 3 (verify). No English fan translation known (verify).</x:v>
      </x:c>
      <x:c r="AL518" s="10" t="n">
        <x:v>47.5</x:v>
      </x:c>
      <x:c r="AM518" s="10" t="n">
        <x:v>104.5</x:v>
      </x:c>
      <x:c r="AN518" s="10" t="n">
        <x:v>213.75</x:v>
      </x:c>
      <x:c r="AO518" s="9" t="str">
        <x:v>2026-10-24</x:v>
      </x:c>
      <x:c r="AP518" s="11" t="str">
        <x:f>HYPERLINK("https://www.pricecharting.com/search-products?q=Megami+Tengoku+II+pc-fx&amp;type=prices","PriceCharting")</x:f>
        <x:v>PriceCharting</x:v>
      </x:c>
      <x:c r="AQ518" s="9"/>
      <x:c r="AR518" s="9"/>
      <x:c r="AS518" s="9"/>
      <x:c r="AT518" s="9"/>
      <x:c r="AU518" s="9"/>
      <x:c r="AV518" s="9"/>
      <x:c r="AW518" s="9"/>
      <x:c r="AX518" s="9"/>
      <x:c r="AY518" s="9"/>
      <x:c r="AZ518" s="9"/>
      <x:c r="BA518" s="11" t="str">
        <x:f>HYPERLINK("https://www.mobygames.com/game/43211/megami-tengoku-ii/","MobyGames")</x:f>
        <x:v>MobyGames</x:v>
      </x:c>
      <x:c r="BB518" s="9"/>
      <x:c r="BC518" s="9"/>
      <x:c r="BD518" s="9"/>
      <x:c r="BE518" s="9"/>
      <x:c r="BF518" s="11" t="str">
        <x:f>HYPERLINK("https://backloggd.com/search/games/Megami%20Tengoku%20II/","Backloggd")</x:f>
        <x:v>Backloggd</x:v>
      </x:c>
      <x:c r="BG518" s="9"/>
      <x:c r="BH518" s="9"/>
      <x:c r="BI518" s="12" t="str">
        <x:v>No</x:v>
      </x:c>
      <x:c r="BJ518" s="12" t="str"/>
      <x:c r="BK518" s="12" t="str">
        <x:v>No</x:v>
      </x:c>
      <x:c r="BL518" s="12" t="str"/>
      <x:c r="BM518" s="12" t="str"/>
      <x:c r="BN518" s="12" t="str"/>
      <x:c r="BO518" s="12" t="str"/>
      <x:c r="BP518" s="12" t="str"/>
      <x:c r="BQ518" s="12" t="str"/>
    </x:row>
    <x:row r="519">
      <x:c r="A519" s="9" t="str">
        <x:v>pcfx-29</x:v>
      </x:c>
      <x:c r="B519" s="9" t="str">
        <x:v>zen-nihon-joshi-pro-wrestling-queen-of-queens</x:v>
      </x:c>
      <x:c r="C519" s="9" t="str">
        <x:v>NEC PC-FX</x:v>
      </x:c>
      <x:c r="D519" s="9" t="str">
        <x:v>Zen-Nihon Joshi Pro Wrestling: Queen of Queens</x:v>
      </x:c>
      <x:c r="E519" s="9" t="str">
        <x:v>All Japan Women's Pro Wrestling: Queen of Queens</x:v>
      </x:c>
      <x:c r="F519" s="9" t="str">
        <x:v>HuneX (credits conflict: NEC Home Electronics)</x:v>
      </x:c>
      <x:c r="G519" s="9" t="str">
        <x:v>NEC Home Electronics</x:v>
      </x:c>
      <x:c r="H519" s="9" t="n">
        <x:v>1995</x:v>
      </x:c>
      <x:c r="I519" s="9" t="str">
        <x:v>No</x:v>
      </x:c>
      <x:c r="J519" s="9" t="str">
        <x:v>Yes</x:v>
      </x:c>
      <x:c r="K519" s="9" t="str">
        <x:v>No</x:v>
      </x:c>
      <x:c r="L519" s="9" t="str">
        <x:v>No</x:v>
      </x:c>
      <x:c r="M519" s="9" t="str">
        <x:v>Wrestling (command-based)</x:v>
      </x:c>
      <x:c r="N519" s="9" t="str">
        <x:v>Animated</x:v>
      </x:c>
      <x:c r="O519" s="9" t="n">
        <x:v>7</x:v>
      </x:c>
      <x:c r="P519" s="9" t="str">
        <x:v>Sports w/ FMV</x:v>
      </x:c>
      <x:c r="Q519" s="9" t="str">
        <x:v>Released</x:v>
      </x:c>
      <x:c r="R519" s="9" t="str">
        <x:v>All Japan Women's Pro Wrestling (AJW) licence</x:v>
      </x:c>
      <x:c r="S519" s="9" t="str">
        <x:v>None (PC-FX exclusive)</x:v>
      </x:c>
      <x:c r="T519" s="9" t="str">
        <x:v>AJW roster as anime versions; Lioness Asuka as tutorial hostess</x:v>
      </x:c>
      <x:c r="U519" s="9" t="n">
        <x:v>2</x:v>
      </x:c>
      <x:c r="V519" s="9" t="str">
        <x:v>Unknown — verify</x:v>
      </x:c>
      <x:c r="W519" s="9" t="str">
        <x:v>PC-FX pad; none required</x:v>
      </x:c>
      <x:c r="X519" s="9" t="str">
        <x:v>Low–Med</x:v>
      </x:c>
      <x:c r="Y519" s="9" t="str">
        <x:v>AJW wrestler entrance themes (verify)</x:v>
      </x:c>
      <x:c r="Z519" s="9" t="str">
        <x:v>1–3 hr (league/scenario)</x:v>
      </x:c>
      <x:c r="AA519" s="9" t="str">
        <x:v>The PC-FX's only wrestling game: you input a move, then a full-screen anime clip shows whether it lands.</x:v>
      </x:c>
      <x:c r="AB519" s="9" t="str">
        <x:v>None known</x:v>
      </x:c>
      <x:c r="AC519" s="9" t="str">
        <x:v>Every move triggers a short full-screen anime FMV clip showing success or failure; Full-screen (256×240) JPEG-compressed anime video decoded by the PC-FX's HuC6272 'King' chip, typically 15–30 fps with clean colour for 1994–98</x:v>
      </x:c>
      <x:c r="AD519" s="9" t="str">
        <x:v>Stamina management; moderate</x:v>
      </x:c>
      <x:c r="AE519" s="9" t="str">
        <x:v>Scenario Mode (Disc B) vs the invading KWP promotion (verify branches)</x:v>
      </x:c>
      <x:c r="AF519" s="9" t="str">
        <x:v>Disc A holds League and Vs modes; Disc B adds a Scenario Mode with the fictional KWP promotion.</x:v>
      </x:c>
      <x:c r="AG519" s="9" t="str">
        <x:v>Standard Japanese release only (verify)</x:v>
      </x:c>
      <x:c r="AH519" s="9" t="str">
        <x:v>No</x:v>
      </x:c>
      <x:c r="AI519" s="9" t="str">
        <x:v>Import</x:v>
      </x:c>
      <x:c r="AJ519" s="9" t="str">
        <x:v>Original Japanese PC-FX (no region lock issue on a JP console); emulation via Mednafen or RetroArch Beetle PC-FX (needs pcfx.rom BIOS); English patch by 72PaulDaniel (2026).</x:v>
      </x:c>
      <x:c r="AK519" s="9" t="str">
        <x:v>Japan-only. Mostly playable without Japanese, easier with the patch. English fan patch by 72PaulDaniel (Feb 2026; v1.5 March 2026, 'fully playable', Options menu untranslated in early versions).</x:v>
      </x:c>
      <x:c r="AL519" s="10" t="n">
        <x:v>49.99</x:v>
      </x:c>
      <x:c r="AM519" s="10" t="n">
        <x:v>89.99</x:v>
      </x:c>
      <x:c r="AN519" s="10" t="n">
        <x:v>180</x:v>
      </x:c>
      <x:c r="AO519" s="9" t="str">
        <x:v>2026-10-24</x:v>
      </x:c>
      <x:c r="AP519" s="11" t="str">
        <x:f>HYPERLINK("https://www.pricecharting.com/search-products?q=Zen-Nihon+Joshi+Pro+Wrestling%3A+Queen+of+Queens+pc-fx&amp;type=prices","PriceCharting")</x:f>
        <x:v>PriceCharting</x:v>
      </x:c>
      <x:c r="AQ519" s="9"/>
      <x:c r="AR519" s="9"/>
      <x:c r="AS519" s="9"/>
      <x:c r="AT519" s="9"/>
      <x:c r="AU519" s="9"/>
      <x:c r="AV519" s="9"/>
      <x:c r="AW519" s="9"/>
      <x:c r="AX519" s="9"/>
      <x:c r="AY519" s="9"/>
      <x:c r="AZ519" s="9" t="str">
        <x:v>2.8</x:v>
      </x:c>
      <x:c r="BA519" s="11" t="str">
        <x:f>HYPERLINK("https://www.mobygames.com/game/pc-fx/zen-nihon-joshi-pro-wrestling-queen-of-queens","MobyGames")</x:f>
        <x:v>MobyGames</x:v>
      </x:c>
      <x:c r="BB519" s="9"/>
      <x:c r="BC519" s="9"/>
      <x:c r="BD519" s="9"/>
      <x:c r="BE519" s="11" t="str">
        <x:f>HYPERLINK("https://en.wikipedia.org/wiki/All_Japan_Women%27s_Pro_Wrestling:_Queen_of_Queens","Wikipedia")</x:f>
        <x:v>Wikipedia</x:v>
      </x:c>
      <x:c r="BF519" s="11" t="str">
        <x:f>HYPERLINK("https://backloggd.com/search/games/Zen-Nihon%20Joshi%20Pro%20Wrestling%3A%20Queen%20of%20Queens/","Backloggd")</x:f>
        <x:v>Backloggd</x:v>
      </x:c>
      <x:c r="BG519" s="9"/>
      <x:c r="BH519" s="9"/>
      <x:c r="BI519" s="12" t="str">
        <x:v>No</x:v>
      </x:c>
      <x:c r="BJ519" s="12" t="str"/>
      <x:c r="BK519" s="12" t="str">
        <x:v>No</x:v>
      </x:c>
      <x:c r="BL519" s="12" t="str"/>
      <x:c r="BM519" s="12" t="str"/>
      <x:c r="BN519" s="12" t="str"/>
      <x:c r="BO519" s="12" t="str"/>
      <x:c r="BP519" s="12" t="str"/>
      <x:c r="BQ519" s="12" t="str"/>
    </x:row>
    <x:row r="520">
      <x:c r="A520" s="9" t="str">
        <x:v>pcfx-30</x:v>
      </x:c>
      <x:c r="B520" s="9" t="str">
        <x:v>minimum-nanonic</x:v>
      </x:c>
      <x:c r="C520" s="9" t="str">
        <x:v>NEC PC-FX</x:v>
      </x:c>
      <x:c r="D520" s="9" t="str">
        <x:v>Minimum Nanonic</x:v>
      </x:c>
      <x:c r="E520" s="9" t="str"/>
      <x:c r="F520" s="9" t="str">
        <x:v>Polestar, Studio OX</x:v>
      </x:c>
      <x:c r="G520" s="9" t="str">
        <x:v>NEC Home Electronics</x:v>
      </x:c>
      <x:c r="H520" s="9" t="n">
        <x:v>1997</x:v>
      </x:c>
      <x:c r="I520" s="9" t="str">
        <x:v>No</x:v>
      </x:c>
      <x:c r="J520" s="9" t="str">
        <x:v>Yes</x:v>
      </x:c>
      <x:c r="K520" s="9" t="str">
        <x:v>No</x:v>
      </x:c>
      <x:c r="L520" s="9" t="str">
        <x:v>No</x:v>
      </x:c>
      <x:c r="M520" s="9" t="str">
        <x:v>Adventure / visual novel</x:v>
      </x:c>
      <x:c r="N520" s="9" t="str">
        <x:v>Animated</x:v>
      </x:c>
      <x:c r="O520" s="9" t="n">
        <x:v>3</x:v>
      </x:c>
      <x:c r="P520" s="9" t="str">
        <x:v>Cutscenes only</x:v>
      </x:c>
      <x:c r="Q520" s="9" t="str">
        <x:v>Released</x:v>
      </x:c>
      <x:c r="R520" s="9" t="str">
        <x:v>Original production</x:v>
      </x:c>
      <x:c r="S520" s="9" t="str">
        <x:v>None (PC-FX exclusive) — verify</x:v>
      </x:c>
      <x:c r="T520" s="9" t="str">
        <x:v>—</x:v>
      </x:c>
      <x:c r="U520" s="9" t="n">
        <x:v>1</x:v>
      </x:c>
      <x:c r="V520" s="9" t="str">
        <x:v>Yes (PC-FX internal backup RAM) — verify</x:v>
      </x:c>
      <x:c r="W520" s="9" t="str">
        <x:v>PC-FX pad; none required</x:v>
      </x:c>
      <x:c r="X520" s="9" t="str">
        <x:v>Low</x:v>
      </x:c>
      <x:c r="Y520" s="9" t="str"/>
      <x:c r="Z520" s="9" t="str">
        <x:v>5–10 hr (verify)</x:v>
      </x:c>
      <x:c r="AA520" s="9" t="str">
        <x:v>A late anime adventure from the Boundary Gate team, built around the PC-FX's anime playback.</x:v>
      </x:c>
      <x:c r="AB520" s="9" t="str">
        <x:v>None known</x:v>
      </x:c>
      <x:c r="AC520" s="9" t="str">
        <x:v>Anime FMV scenes (verify amount); Full-screen (256×240) JPEG-compressed anime video decoded by the PC-FX's HuC6272 'King' chip, typically 15–30 fps with clean colour for 1994–98</x:v>
      </x:c>
      <x:c r="AD520" s="9" t="str">
        <x:v>Low; choice-driven</x:v>
      </x:c>
      <x:c r="AE520" s="9" t="str">
        <x:v>Unknown — verify</x:v>
      </x:c>
      <x:c r="AF520" s="9" t="str">
        <x:v>Same development pairing (Polestar / Studio OX) as Boundary Gate.</x:v>
      </x:c>
      <x:c r="AG520" s="9" t="str">
        <x:v>Standard Japanese release only (verify)</x:v>
      </x:c>
      <x:c r="AH520" s="9" t="str">
        <x:v>No</x:v>
      </x:c>
      <x:c r="AI520" s="9" t="str">
        <x:v>Import</x:v>
      </x:c>
      <x:c r="AJ520" s="9" t="str">
        <x:v>Original Japanese PC-FX (no region lock issue on a JP console); emulation via Mednafen or RetroArch Beetle PC-FX (needs pcfx.rom BIOS). No English fan translation known (verify).</x:v>
      </x:c>
      <x:c r="AK520" s="9" t="str">
        <x:v>Japan-only. Heavy Japanese reading required. FMV rated 3 pending a check (could be higher). No English fan translation known (verify).</x:v>
      </x:c>
      <x:c r="AL520" s="10" t="n">
        <x:v>36.85</x:v>
      </x:c>
      <x:c r="AM520" s="10" t="n">
        <x:v>81.04</x:v>
      </x:c>
      <x:c r="AN520" s="10" t="n">
        <x:v>162.04</x:v>
      </x:c>
      <x:c r="AO520" s="9" t="str">
        <x:v>2026-10-24</x:v>
      </x:c>
      <x:c r="AP520" s="11" t="str">
        <x:f>HYPERLINK("https://www.pricecharting.com/search-products?q=Minimum+Nanonic+pc-fx&amp;type=prices","PriceCharting")</x:f>
        <x:v>PriceCharting</x:v>
      </x:c>
      <x:c r="AQ520" s="9"/>
      <x:c r="AR520" s="9"/>
      <x:c r="AS520" s="9"/>
      <x:c r="AT520" s="9"/>
      <x:c r="AU520" s="9"/>
      <x:c r="AV520" s="9"/>
      <x:c r="AW520" s="9"/>
      <x:c r="AX520" s="9"/>
      <x:c r="AY520" s="9"/>
      <x:c r="AZ520" s="9"/>
      <x:c r="BA520" s="11" t="str">
        <x:f>HYPERLINK("https://www.mobygames.com/game/43214/minimum-nanonic/","MobyGames")</x:f>
        <x:v>MobyGames</x:v>
      </x:c>
      <x:c r="BB520" s="9"/>
      <x:c r="BC520" s="9"/>
      <x:c r="BD520" s="9"/>
      <x:c r="BE520" s="9"/>
      <x:c r="BF520" s="11" t="str">
        <x:f>HYPERLINK("https://backloggd.com/search/games/Minimum%20Nanonic/","Backloggd")</x:f>
        <x:v>Backloggd</x:v>
      </x:c>
      <x:c r="BG520" s="9"/>
      <x:c r="BH520" s="9"/>
      <x:c r="BI520" s="12" t="str">
        <x:v>No</x:v>
      </x:c>
      <x:c r="BJ520" s="12" t="str"/>
      <x:c r="BK520" s="12" t="str">
        <x:v>No</x:v>
      </x:c>
      <x:c r="BL520" s="12" t="str"/>
      <x:c r="BM520" s="12" t="str"/>
      <x:c r="BN520" s="12" t="str"/>
      <x:c r="BO520" s="12" t="str"/>
      <x:c r="BP520" s="12" t="str"/>
      <x:c r="BQ520" s="12" t="str"/>
    </x:row>
    <x:row r="521">
      <x:c r="A521" s="9" t="str">
        <x:v>pippin-1</x:v>
      </x:c>
      <x:c r="B521" s="9" t="str">
        <x:v>kidou-senshi-gundam-0079-the-war-for-earth</x:v>
      </x:c>
      <x:c r="C521" s="9" t="str">
        <x:v>Apple Bandai Pippin</x:v>
      </x:c>
      <x:c r="D521" s="9" t="str">
        <x:v>Gundam 0079: The War for Earth</x:v>
      </x:c>
      <x:c r="E521" s="9" t="str">
        <x:v>Kidō Senshi Gundam 0079: The War for Earth (機動戦士ガンダム0079 THE WAR FOR EARTH)</x:v>
      </x:c>
      <x:c r="F521" s="9" t="str">
        <x:v>Presto Studios (with Sunrise)</x:v>
      </x:c>
      <x:c r="G521" s="9" t="str">
        <x:v>Bandai Digital Entertainment (JP; US Mac/Win 1997)</x:v>
      </x:c>
      <x:c r="H521" s="9" t="n">
        <x:v>1996</x:v>
      </x:c>
      <x:c r="I521" s="9" t="str">
        <x:v>No</x:v>
      </x:c>
      <x:c r="J521" s="9" t="str">
        <x:v>Yes</x:v>
      </x:c>
      <x:c r="K521" s="9" t="str">
        <x:v>No</x:v>
      </x:c>
      <x:c r="L521" s="9" t="str">
        <x:v>No</x:v>
      </x:c>
      <x:c r="M521" s="9" t="str">
        <x:v>Interactive movie / QTE mech action</x:v>
      </x:c>
      <x:c r="N521" s="9" t="str">
        <x:v>Live-action + CG</x:v>
      </x:c>
      <x:c r="O521" s="9" t="n">
        <x:v>9</x:v>
      </x:c>
      <x:c r="P521" s="9" t="str">
        <x:v>Interactive movie</x:v>
      </x:c>
      <x:c r="Q521" s="9" t="str">
        <x:v>Released</x:v>
      </x:c>
      <x:c r="R521" s="9" t="str">
        <x:v>Original production set in the original Mobile Suit Gundam (episodes 1–10)</x:v>
      </x:c>
      <x:c r="S521" s="9" t="str">
        <x:v>Power Macintosh/Windows 95 (JP 1996; US hybrid Win/Mac Sept 1997), PlayStation (JP, 2 May 1997)</x:v>
      </x:c>
      <x:c r="T521" s="9" t="str">
        <x:v>Non-Japanese live-action actors (names unverified); JP version reuses original anime voice actors such as Shūichi Ikeda (Char) and Toshio Furukawa (Kai) per pixiv (verify)</x:v>
      </x:c>
      <x:c r="U521" s="9" t="n">
        <x:v>1</x:v>
      </x:c>
      <x:c r="V521" s="9" t="str">
        <x:v>Yes (PC/Mac version saves anywhere; Pippin — verify)</x:v>
      </x:c>
      <x:c r="W521" s="9" t="str">
        <x:v>Pippin AppleJack controller</x:v>
      </x:c>
      <x:c r="X521" s="9" t="str">
        <x:v>Low–Med</x:v>
      </x:c>
      <x:c r="Y521" s="9" t="str">
        <x:v>Gundam IP (Sunrise); score is original (Jamey Scott)</x:v>
      </x:c>
      <x:c r="Z521" s="9" t="str">
        <x:v>1–2 hr</x:v>
      </x:c>
      <x:c r="AA521" s="9" t="str">
        <x:v>Gundam as a Hollywood-style live-action FMV game from the Journeyman Project studio, and the one real FMV showpiece Bandai pitched for its own console.</x:v>
      </x:c>
      <x:c r="AB521" s="9" t="str">
        <x:v>A cheat reportedly lets you watch the movies without prompts (pixiv; inputs not confirmed — verify)</x:v>
      </x:c>
      <x:c r="AC521" s="9" t="str">
        <x:v>Cockpit view with CG mobile-suit sequences, live-action actors and about 30 min of CG animation (Macintosh Repository); QuickTime video, window size/frame rate — verify</x:v>
      </x:c>
      <x:c r="AD521" s="9" t="str">
        <x:v>Very hard: strict QTE timing, a late or wrong input is an instant game over, unskippable scenes and few retry points</x:v>
      </x:c>
      <x:c r="AE521" s="9" t="str">
        <x:v>Linear story through Garma's death; many fail-state game overs, one ending</x:v>
      </x:c>
      <x:c r="AF521" s="9" t="str">
        <x:v>Presto Studios (later Myst III: Exile) spent about two years on it. Next Generation gave the Mac version 2/5.</x:v>
      </x:c>
      <x:c r="AG521" s="9" t="str">
        <x:v>Japanese Power Mac disc (the copy Macintosh Repository files under Pippin); US hybrid Win/Mac PC release; Japanese PS1 SLPS-00815 and SCPS-45045</x:v>
      </x:c>
      <x:c r="AH521" s="9" t="str">
        <x:v>No</x:v>
      </x:c>
      <x:c r="AI521" s="9" t="str">
        <x:v>Import</x:v>
      </x:c>
      <x:c r="AJ521" s="9" t="str">
        <x:v>Japanese Power Mac disc in SheepShaver/Mac OS 9, or the JP PS1 version; Pippin boot via DingusPPC or MAME 'pippin' driver (both limited/experimental) unverified</x:v>
      </x:c>
      <x:c r="AK521" s="9" t="str">
        <x:v>PIPPIN RELEASE UNCONFIRMED. The Pippin fan wiki and pixiv both say a Pippin version was announced and advertised but never confirmed. Macintosh Repository files the Japanese disc under Pippin and marks it 'For Bandai Pippin', so the Japanese Power Mac disc may boot on an Atmark. There's no Pippin PriceCharting listing. Decide whether to keep it as Released (jp) or mark it 'NOT on Apple Bandai Pippin'.</x:v>
      </x:c>
      <x:c r="AL521" s="10"/>
      <x:c r="AM521" s="10"/>
      <x:c r="AN521" s="10"/>
      <x:c r="AO521" s="9"/>
      <x:c r="AP521" s="11" t="str">
        <x:f>HYPERLINK("https://www.pricecharting.com/search-products?q=Gundam+0079%3A+The+War+for+Earth+pippin&amp;type=prices","PriceCharting")</x:f>
        <x:v>PriceCharting</x:v>
      </x:c>
      <x:c r="AQ521" s="9"/>
      <x:c r="AR521" s="9"/>
      <x:c r="AS521" s="9"/>
      <x:c r="AT521" s="9"/>
      <x:c r="AU521" s="9"/>
      <x:c r="AV521" s="9"/>
      <x:c r="AW521" s="9"/>
      <x:c r="AX521" s="9"/>
      <x:c r="AY521" s="9"/>
      <x:c r="AZ521" s="9"/>
      <x:c r="BA521" s="11" t="str">
        <x:f>HYPERLINK("https://www.mobygames.com/search/?q=Gundam+0079%3A+The+War+for+Earth","MobyGames")</x:f>
        <x:v>MobyGames</x:v>
      </x:c>
      <x:c r="BB521" s="9"/>
      <x:c r="BC521" s="9"/>
      <x:c r="BD521" s="9"/>
      <x:c r="BE521" s="11" t="str">
        <x:f>HYPERLINK("https://en.wikipedia.org/wiki/Gundam_0079:_The_War_for_Earth","Wikipedia")</x:f>
        <x:v>Wikipedia</x:v>
      </x:c>
      <x:c r="BF521" s="11" t="str">
        <x:f>HYPERLINK("https://backloggd.com/search/games/Gundam%200079%3A%20The%20War%20for%20Earth/","Backloggd")</x:f>
        <x:v>Backloggd</x:v>
      </x:c>
      <x:c r="BG521" s="9"/>
      <x:c r="BH521" s="9"/>
      <x:c r="BI521" s="12" t="str">
        <x:v>No</x:v>
      </x:c>
      <x:c r="BJ521" s="12" t="str"/>
      <x:c r="BK521" s="12" t="str">
        <x:v>No</x:v>
      </x:c>
      <x:c r="BL521" s="12" t="str"/>
      <x:c r="BM521" s="12" t="str"/>
      <x:c r="BN521" s="12" t="str"/>
      <x:c r="BO521" s="12" t="str"/>
      <x:c r="BP521" s="12" t="str"/>
      <x:c r="BQ521" s="12" t="str"/>
    </x:row>
    <x:row r="522">
      <x:c r="A522" s="9" t="str">
        <x:v>pippin-2</x:v>
      </x:c>
      <x:c r="B522" s="9" t="str">
        <x:v>shock-wave</x:v>
      </x:c>
      <x:c r="C522" s="9" t="str">
        <x:v>Apple Bandai Pippin</x:v>
      </x:c>
      <x:c r="D522" s="9" t="str">
        <x:v>Shock Wave</x:v>
      </x:c>
      <x:c r="E522" s="9" t="str">
        <x:v>Shockwave Assault: Invasion Earth (title screen); Shock Wave Invasion Earth: 2019 (intro)</x:v>
      </x:c>
      <x:c r="F522" s="9" t="str">
        <x:v>Advanced Technology Group (EA); Pippin port — verify</x:v>
      </x:c>
      <x:c r="G522" s="9" t="str">
        <x:v>Bandai Digital Entertainment (JP)</x:v>
      </x:c>
      <x:c r="H522" s="9" t="n">
        <x:v>1996</x:v>
      </x:c>
      <x:c r="I522" s="9" t="str">
        <x:v>No</x:v>
      </x:c>
      <x:c r="J522" s="9" t="str">
        <x:v>Yes</x:v>
      </x:c>
      <x:c r="K522" s="9" t="str">
        <x:v>No</x:v>
      </x:c>
      <x:c r="L522" s="9" t="str">
        <x:v>No</x:v>
      </x:c>
      <x:c r="M522" s="9" t="str">
        <x:v>Combat flight shooter</x:v>
      </x:c>
      <x:c r="N522" s="9" t="str">
        <x:v>Live-action + CG</x:v>
      </x:c>
      <x:c r="O522" s="9" t="n">
        <x:v>3</x:v>
      </x:c>
      <x:c r="P522" s="9" t="str">
        <x:v>Cutscenes only</x:v>
      </x:c>
      <x:c r="Q522" s="9" t="str">
        <x:v>Released</x:v>
      </x:c>
      <x:c r="R522" s="9" t="str">
        <x:v>3DO original (EA, 1994)</x:v>
      </x:c>
      <x:c r="S522" s="9" t="str">
        <x:v>3DO; Shockwave Assault (with Operation Jumpgate) on PlayStation, Saturn, Windows</x:v>
      </x:c>
      <x:c r="T522" s="9" t="str">
        <x:v>Unnamed actors as the Omaha crew — verify</x:v>
      </x:c>
      <x:c r="U522" s="9" t="n">
        <x:v>1</x:v>
      </x:c>
      <x:c r="V522" s="9" t="str">
        <x:v>Unknown — verify</x:v>
      </x:c>
      <x:c r="W522" s="9" t="str">
        <x:v>Pippin AppleJack controller</x:v>
      </x:c>
      <x:c r="X522" s="9" t="str">
        <x:v>Low</x:v>
      </x:c>
      <x:c r="Y522" s="9" t="str"/>
      <x:c r="Z522" s="9" t="str">
        <x:v>3–4 hr</x:v>
      </x:c>
      <x:c r="AA522" s="9" t="str">
        <x:v>EA's live-action alien-invasion shooter, dubbed into Japanese on a console almost nobody bought.</x:v>
      </x:c>
      <x:c r="AB522" s="9" t="str">
        <x:v>None known</x:v>
      </x:c>
      <x:c r="AC522" s="9" t="str">
        <x:v>Opening cutscene with English on-screen text and Japanese dub; live-action briefings as in the 3DO original (window size/frame rate — verify)</x:v>
      </x:c>
      <x:c r="AD522" s="9" t="str">
        <x:v>Moderate; the ship auto-hovers and cannot crash</x:v>
      </x:c>
      <x:c r="AE522" s="9" t="str">
        <x:v>Linear; one ending</x:v>
      </x:c>
      <x:c r="AF522" s="9" t="str">
        <x:v>The disc is a Pippin/Mac hybrid, though the box carries no sticker saying so. It runs noticeably smoother on a Power Mac G3 than on the Pippin.</x:v>
      </x:c>
      <x:c r="AG522" s="9" t="str">
        <x:v>Japanese Atmark release only; whether it includes Operation Jumpgate is unconfirmed</x:v>
      </x:c>
      <x:c r="AH522" s="9" t="str">
        <x:v>No</x:v>
      </x:c>
      <x:c r="AI522" s="9" t="str">
        <x:v>Expensive</x:v>
      </x:c>
      <x:c r="AJ522" s="9" t="str">
        <x:v>The same disc on a Power Mac (classic Mac OS) or SheepShaver; DingusPPC or MAME 'pippin' driver (both limited/experimental); or the 3DO original</x:v>
      </x:c>
      <x:c r="AK522" s="9" t="str">
        <x:v>Confirmed Pippin port of the 3DO Shock Wave (Pippin fan wiki). Hybrid disc: also runs on a Mac. No US @WORLD release found (verify).</x:v>
      </x:c>
      <x:c r="AL522" s="10" t="n">
        <x:v>199.99</x:v>
      </x:c>
      <x:c r="AM522" s="10" t="n">
        <x:v>439.98</x:v>
      </x:c>
      <x:c r="AN522" s="10" t="n">
        <x:v>899.96</x:v>
      </x:c>
      <x:c r="AO522" s="9" t="str">
        <x:v>2026-10-24</x:v>
      </x:c>
      <x:c r="AP522" s="11" t="str">
        <x:f>HYPERLINK("https://www.pricecharting.com/search-products?q=Shock+Wave+pippin&amp;type=prices","PriceCharting")</x:f>
        <x:v>PriceCharting</x:v>
      </x:c>
      <x:c r="AQ522" s="9"/>
      <x:c r="AR522" s="9"/>
      <x:c r="AS522" s="9"/>
      <x:c r="AT522" s="9"/>
      <x:c r="AU522" s="9"/>
      <x:c r="AV522" s="9"/>
      <x:c r="AW522" s="9"/>
      <x:c r="AX522" s="9"/>
      <x:c r="AY522" s="9"/>
      <x:c r="AZ522" s="9"/>
      <x:c r="BA522" s="11" t="str">
        <x:f>HYPERLINK("https://www.mobygames.com/search/?q=Shock+Wave","MobyGames")</x:f>
        <x:v>MobyGames</x:v>
      </x:c>
      <x:c r="BB522" s="9"/>
      <x:c r="BC522" s="9"/>
      <x:c r="BD522" s="9"/>
      <x:c r="BE522" s="11" t="str">
        <x:f>HYPERLINK("https://en.wikipedia.org/wiki/Shock_Wave_(video_game)","Wikipedia")</x:f>
        <x:v>Wikipedia</x:v>
      </x:c>
      <x:c r="BF522" s="11" t="str">
        <x:f>HYPERLINK("https://backloggd.com/search/games/Shock%20Wave/","Backloggd")</x:f>
        <x:v>Backloggd</x:v>
      </x:c>
      <x:c r="BG522" s="9"/>
      <x:c r="BH522" s="9"/>
      <x:c r="BI522" s="12" t="str">
        <x:v>No</x:v>
      </x:c>
      <x:c r="BJ522" s="12" t="str"/>
      <x:c r="BK522" s="12" t="str">
        <x:v>No</x:v>
      </x:c>
      <x:c r="BL522" s="12" t="str"/>
      <x:c r="BM522" s="12" t="str"/>
      <x:c r="BN522" s="12" t="str"/>
      <x:c r="BO522" s="12" t="str"/>
      <x:c r="BP522" s="12" t="str"/>
      <x:c r="BQ522" s="12" t="str"/>
    </x:row>
    <x:row r="523">
      <x:c r="A523" s="9" t="str">
        <x:v>pippin-3</x:v>
      </x:c>
      <x:c r="B523" s="9" t="str">
        <x:v>gakkou-no-kowai-uwasa-hanako-san-ga-kita</x:v>
      </x:c>
      <x:c r="C523" s="9" t="str">
        <x:v>Apple Bandai Pippin</x:v>
      </x:c>
      <x:c r="D523" s="9" t="str">
        <x:v>Gakkō no Kowai Uwasa: Hanako-san ga Kita!!</x:v>
      </x:c>
      <x:c r="E523" s="9" t="str">
        <x:v>学校のコワイうわさ 花子さんがきた!!</x:v>
      </x:c>
      <x:c r="F523" s="9" t="str">
        <x:v>Capcom (original); Pippin version by Amuse — verify</x:v>
      </x:c>
      <x:c r="G523" s="9" t="str">
        <x:v>Amuse (JP)</x:v>
      </x:c>
      <x:c r="H523" s="9" t="n">
        <x:v>1996</x:v>
      </x:c>
      <x:c r="I523" s="9" t="str">
        <x:v>No</x:v>
      </x:c>
      <x:c r="J523" s="9" t="str">
        <x:v>Yes</x:v>
      </x:c>
      <x:c r="K523" s="9" t="str">
        <x:v>No</x:v>
      </x:c>
      <x:c r="L523" s="9" t="str">
        <x:v>No</x:v>
      </x:c>
      <x:c r="M523" s="9" t="str">
        <x:v>Interactive cartoon / horror adventure</x:v>
      </x:c>
      <x:c r="N523" s="9" t="str">
        <x:v>Animated</x:v>
      </x:c>
      <x:c r="O523" s="9" t="n">
        <x:v>5</x:v>
      </x:c>
      <x:c r="P523" s="9" t="str">
        <x:v>Interactive movie</x:v>
      </x:c>
      <x:c r="Q523" s="9" t="str">
        <x:v>Released</x:v>
      </x:c>
      <x:c r="R523" s="9" t="str">
        <x:v>Hanako-san ga Kita!! children's ghost-story books and Fuji TV Ponkikki animated shorts</x:v>
      </x:c>
      <x:c r="S523" s="9" t="str">
        <x:v>PlayStation and Saturn (JP, 1995, Capcom)</x:v>
      </x:c>
      <x:c r="T523" s="9" t="str">
        <x:v>Mayutan (Hanako), Masato Ibu (narrator) — from the Saturn version, verify for Pippin</x:v>
      </x:c>
      <x:c r="U523" s="9" t="n">
        <x:v>1</x:v>
      </x:c>
      <x:c r="V523" s="9" t="str">
        <x:v>Unknown — verify</x:v>
      </x:c>
      <x:c r="W523" s="9" t="str">
        <x:v>Pippin AppleJack controller</x:v>
      </x:c>
      <x:c r="X523" s="9" t="str">
        <x:v>Low–Med</x:v>
      </x:c>
      <x:c r="Y523" s="9" t="str">
        <x:v>TV-series animation and voice track (Fuji TV / Pony Canyon)</x:v>
      </x:c>
      <x:c r="Z523" s="9" t="str">
        <x:v>1–2 hr (verify)</x:v>
      </x:c>
      <x:c r="AA523" s="9" t="str">
        <x:v>Capcom's school-ghost interactive cartoon, ported to Bandai's console for the Atmark launch.</x:v>
      </x:c>
      <x:c r="AB523" s="9" t="str">
        <x:v>None known</x:v>
      </x:c>
      <x:c r="AC523" s="9" t="str">
        <x:v>Streamed animation from the TV shorts (Macintosh Repository files it under FMV; size/frame rate — verify)</x:v>
      </x:c>
      <x:c r="AD523" s="9" t="str">
        <x:v>Easy (children's title)</x:v>
      </x:c>
      <x:c r="AE523" s="9" t="str">
        <x:v>Branching scare choices — verify</x:v>
      </x:c>
      <x:c r="AF523" s="9" t="str">
        <x:v>Shu Takumi, who later created Ace Attorney, planned the Capcom original. It was catalog #34 in the Atmark launch lineup (March 1996).</x:v>
      </x:c>
      <x:c r="AG523" s="9" t="str">
        <x:v>Japanese Atmark only</x:v>
      </x:c>
      <x:c r="AH523" s="9" t="str">
        <x:v>No</x:v>
      </x:c>
      <x:c r="AI523" s="9" t="str">
        <x:v>Expensive</x:v>
      </x:c>
      <x:c r="AJ523" s="9" t="str">
        <x:v>Pippin Atmark hardware; DingusPPC or MAME 'pippin' driver (both limited/experimental); or the Saturn/PS1 versions</x:v>
      </x:c>
      <x:c r="AK523" s="9" t="str">
        <x:v>Released on Pippin per the launch catalog and Macintosh Repository (1996, FMV category). Whether Amuse or Capcom did the Pippin port is unconfirmed.</x:v>
      </x:c>
      <x:c r="AL523" s="10" t="n">
        <x:v>122.84</x:v>
      </x:c>
      <x:c r="AM523" s="10" t="n">
        <x:v>270.25</x:v>
      </x:c>
      <x:c r="AN523" s="10" t="n">
        <x:v>552.78</x:v>
      </x:c>
      <x:c r="AO523" s="9" t="str">
        <x:v>2026-10-24</x:v>
      </x:c>
      <x:c r="AP523" s="11" t="str">
        <x:f>HYPERLINK("https://www.pricecharting.com/search-products?q=Gakk%C5%8D+no+Kowai+Uwasa%3A+Hanako-san+ga+Kita%21%21+pippin&amp;type=prices","PriceCharting")</x:f>
        <x:v>PriceCharting</x:v>
      </x:c>
      <x:c r="AQ523" s="9"/>
      <x:c r="AR523" s="9"/>
      <x:c r="AS523" s="9"/>
      <x:c r="AT523" s="9"/>
      <x:c r="AU523" s="9"/>
      <x:c r="AV523" s="9"/>
      <x:c r="AW523" s="9"/>
      <x:c r="AX523" s="9"/>
      <x:c r="AY523" s="9"/>
      <x:c r="AZ523" s="9"/>
      <x:c r="BA523" s="11" t="str">
        <x:f>HYPERLINK("https://www.mobygames.com/search/?q=Gakk%C5%8D+no+Kowai+Uwasa%3A+Hanako-san+ga+Kita%21%21","MobyGames")</x:f>
        <x:v>MobyGames</x:v>
      </x:c>
      <x:c r="BB523" s="9"/>
      <x:c r="BC523" s="9"/>
      <x:c r="BD523" s="9"/>
      <x:c r="BE523" s="9"/>
      <x:c r="BF523" s="11" t="str">
        <x:f>HYPERLINK("https://backloggd.com/search/games/Gakk%C5%8D%20no%20Kowai%20Uwasa%3A%20Hanako-san%20ga%20Kita%21%21/","Backloggd")</x:f>
        <x:v>Backloggd</x:v>
      </x:c>
      <x:c r="BG523" s="9"/>
      <x:c r="BH523" s="9"/>
      <x:c r="BI523" s="12" t="str">
        <x:v>No</x:v>
      </x:c>
      <x:c r="BJ523" s="12" t="str"/>
      <x:c r="BK523" s="12" t="str">
        <x:v>No</x:v>
      </x:c>
      <x:c r="BL523" s="12" t="str"/>
      <x:c r="BM523" s="12" t="str"/>
      <x:c r="BN523" s="12" t="str"/>
      <x:c r="BO523" s="12" t="str"/>
      <x:c r="BP523" s="12" t="str"/>
      <x:c r="BQ523" s="12" t="str"/>
    </x:row>
    <x:row r="524">
      <x:c r="A524" s="9" t="str">
        <x:v>pippin-4</x:v>
      </x:c>
      <x:c r="B524" s="9" t="str">
        <x:v>gundam-tactics-mobility-fleet-0079</x:v>
      </x:c>
      <x:c r="C524" s="9" t="str">
        <x:v>Apple Bandai Pippin</x:v>
      </x:c>
      <x:c r="D524" s="9" t="str">
        <x:v>Gundam Tactics: Mobility Fleet 0079</x:v>
      </x:c>
      <x:c r="E524" s="9" t="str">
        <x:v>機動戦士ガンダム Tactics Mobility Fleet 0079 (verify)</x:v>
      </x:c>
      <x:c r="F524" s="9" t="str">
        <x:v>Bandai Digital Entertainment (BDEC)</x:v>
      </x:c>
      <x:c r="G524" s="9" t="str">
        <x:v>Bandai Digital Entertainment (JP)</x:v>
      </x:c>
      <x:c r="H524" s="9" t="n">
        <x:v>1996</x:v>
      </x:c>
      <x:c r="I524" s="9" t="str">
        <x:v>No</x:v>
      </x:c>
      <x:c r="J524" s="9" t="str">
        <x:v>Yes</x:v>
      </x:c>
      <x:c r="K524" s="9" t="str">
        <x:v>No</x:v>
      </x:c>
      <x:c r="L524" s="9" t="str">
        <x:v>No</x:v>
      </x:c>
      <x:c r="M524" s="9" t="str">
        <x:v>Strategy</x:v>
      </x:c>
      <x:c r="N524" s="9" t="str">
        <x:v>Animated</x:v>
      </x:c>
      <x:c r="O524" s="9" t="n">
        <x:v>2</x:v>
      </x:c>
      <x:c r="P524" s="9" t="str">
        <x:v>Cutscenes only</x:v>
      </x:c>
      <x:c r="Q524" s="9" t="str">
        <x:v>Released</x:v>
      </x:c>
      <x:c r="R524" s="9" t="str">
        <x:v>Mobile Suit Gundam (1979) anime</x:v>
      </x:c>
      <x:c r="S524" s="9" t="str">
        <x:v>None known</x:v>
      </x:c>
      <x:c r="T524" s="9" t="str">
        <x:v>—</x:v>
      </x:c>
      <x:c r="U524" s="9" t="n">
        <x:v>1</x:v>
      </x:c>
      <x:c r="V524" s="9" t="str">
        <x:v>Unknown — verify</x:v>
      </x:c>
      <x:c r="W524" s="9" t="str">
        <x:v>Pippin AppleJack controller</x:v>
      </x:c>
      <x:c r="X524" s="9" t="str">
        <x:v>Med</x:v>
      </x:c>
      <x:c r="Y524" s="9" t="str">
        <x:v>Gundam anime footage/music if used — verify</x:v>
      </x:c>
      <x:c r="Z524" s="9" t="str">
        <x:v>Unknown — verify</x:v>
      </x:c>
      <x:c r="AA524" s="9" t="str">
        <x:v>An Atmark launch-day Gundam strategy game that only Japanese Pippin owners ever saw.</x:v>
      </x:c>
      <x:c r="AB524" s="9" t="str">
        <x:v>None known</x:v>
      </x:c>
      <x:c r="AC524" s="9" t="str">
        <x:v>Anime clips not confirmed — verify</x:v>
      </x:c>
      <x:c r="AD524" s="9" t="str">
        <x:v>Unknown — verify</x:v>
      </x:c>
      <x:c r="AE524" s="9" t="str">
        <x:v>Unknown — verify</x:v>
      </x:c>
      <x:c r="AF524" s="9" t="str">
        <x:v>Catalog #28 in the Atmark launch lineup (March 1996).</x:v>
      </x:c>
      <x:c r="AG524" s="9" t="str">
        <x:v>Japanese Atmark only</x:v>
      </x:c>
      <x:c r="AH524" s="9" t="str">
        <x:v>No</x:v>
      </x:c>
      <x:c r="AI524" s="9" t="str">
        <x:v>Expensive</x:v>
      </x:c>
      <x:c r="AJ524" s="9" t="str">
        <x:v>Pippin Atmark hardware; DingusPPC or MAME 'pippin' driver (both limited/experimental)</x:v>
      </x:c>
      <x:c r="AK524" s="9" t="str">
        <x:v>fmv 2 is a guess: no source says whether it has anime video. Macintosh Repository says it's heavy on Japanese text. If it has no video, set fmv 0.</x:v>
      </x:c>
      <x:c r="AL524" s="10"/>
      <x:c r="AM524" s="10" t="n">
        <x:v>190.5</x:v>
      </x:c>
      <x:c r="AN524" s="10" t="n">
        <x:v>599.99</x:v>
      </x:c>
      <x:c r="AO524" s="9" t="str">
        <x:v>2026-10-24</x:v>
      </x:c>
      <x:c r="AP524" s="11" t="str">
        <x:f>HYPERLINK("https://www.pricecharting.com/search-products?q=Gundam+Tactics%3A+Mobility+Fleet+0079+pippin&amp;type=prices","PriceCharting")</x:f>
        <x:v>PriceCharting</x:v>
      </x:c>
      <x:c r="AQ524" s="9"/>
      <x:c r="AR524" s="9"/>
      <x:c r="AS524" s="9"/>
      <x:c r="AT524" s="9"/>
      <x:c r="AU524" s="9"/>
      <x:c r="AV524" s="9"/>
      <x:c r="AW524" s="9"/>
      <x:c r="AX524" s="9"/>
      <x:c r="AY524" s="9"/>
      <x:c r="AZ524" s="9"/>
      <x:c r="BA524" s="11" t="str">
        <x:f>HYPERLINK("https://www.mobygames.com/search/?q=Gundam+Tactics%3A+Mobility+Fleet+0079","MobyGames")</x:f>
        <x:v>MobyGames</x:v>
      </x:c>
      <x:c r="BB524" s="9"/>
      <x:c r="BC524" s="9"/>
      <x:c r="BD524" s="9"/>
      <x:c r="BE524" s="9"/>
      <x:c r="BF524" s="11" t="str">
        <x:f>HYPERLINK("https://backloggd.com/search/games/Gundam%20Tactics%3A%20Mobility%20Fleet%200079/","Backloggd")</x:f>
        <x:v>Backloggd</x:v>
      </x:c>
      <x:c r="BG524" s="9"/>
      <x:c r="BH524" s="9"/>
      <x:c r="BI524" s="12" t="str">
        <x:v>No</x:v>
      </x:c>
      <x:c r="BJ524" s="12" t="str"/>
      <x:c r="BK524" s="12" t="str">
        <x:v>No</x:v>
      </x:c>
      <x:c r="BL524" s="12" t="str"/>
      <x:c r="BM524" s="12" t="str"/>
      <x:c r="BN524" s="12" t="str"/>
      <x:c r="BO524" s="12" t="str"/>
      <x:c r="BP524" s="12" t="str"/>
      <x:c r="BQ524" s="12" t="str"/>
    </x:row>
    <x:row r="525">
      <x:c r="A525" s="9" t="str">
        <x:v>pippin-5</x:v>
      </x:c>
      <x:c r="B525" s="9" t="str">
        <x:v>power-rangers-zeo-versus-the-machine-empire</x:v>
      </x:c>
      <x:c r="C525" s="9" t="str">
        <x:v>Apple Bandai Pippin</x:v>
      </x:c>
      <x:c r="D525" s="9" t="str">
        <x:v>Power Rangers Zeo Versus the Machine Empire</x:v>
      </x:c>
      <x:c r="E525" s="9" t="str"/>
      <x:c r="F525" s="9" t="str">
        <x:v>Unknown — verify (Giant Bomb says CyberFlix, Macintosh Repository says Saban)</x:v>
      </x:c>
      <x:c r="G525" s="9" t="str">
        <x:v>Bandai Digital Entertainment (NA)</x:v>
      </x:c>
      <x:c r="H525" s="9" t="n">
        <x:v>1996</x:v>
      </x:c>
      <x:c r="I525" s="9" t="str">
        <x:v>Yes</x:v>
      </x:c>
      <x:c r="J525" s="9" t="str">
        <x:v>No</x:v>
      </x:c>
      <x:c r="K525" s="9" t="str">
        <x:v>No</x:v>
      </x:c>
      <x:c r="L525" s="9" t="str">
        <x:v>No</x:v>
      </x:c>
      <x:c r="M525" s="9" t="str">
        <x:v>Beat 'em up</x:v>
      </x:c>
      <x:c r="N525" s="9" t="str">
        <x:v>Live-action</x:v>
      </x:c>
      <x:c r="O525" s="9" t="n">
        <x:v>2</x:v>
      </x:c>
      <x:c r="P525" s="9" t="str">
        <x:v>Cutscenes only</x:v>
      </x:c>
      <x:c r="Q525" s="9" t="str">
        <x:v>Released</x:v>
      </x:c>
      <x:c r="R525" s="9" t="str">
        <x:v>Power Rangers Zeo TV series (Saban)</x:v>
      </x:c>
      <x:c r="S525" s="9" t="str">
        <x:v>PC (per Giant Bomb)</x:v>
      </x:c>
      <x:c r="T525" s="9" t="str">
        <x:v>Zeo Rangers characters (TV cast footage — verify)</x:v>
      </x:c>
      <x:c r="U525" s="9" t="n">
        <x:v>1</x:v>
      </x:c>
      <x:c r="V525" s="9" t="str">
        <x:v>Unknown — verify</x:v>
      </x:c>
      <x:c r="W525" s="9" t="str">
        <x:v>Pippin AppleJack controller</x:v>
      </x:c>
      <x:c r="X525" s="9" t="str">
        <x:v>Med</x:v>
      </x:c>
      <x:c r="Y525" s="9" t="str">
        <x:v>Power Rangers Zeo TV footage/theme if used</x:v>
      </x:c>
      <x:c r="Z525" s="9" t="str">
        <x:v>Unknown — verify</x:v>
      </x:c>
      <x:c r="AA525" s="9" t="str">
        <x:v>A Power Rangers Zeo beat 'em up made only for Bandai's own console in America.</x:v>
      </x:c>
      <x:c r="AB525" s="9" t="str">
        <x:v>None known</x:v>
      </x:c>
      <x:c r="AC525" s="9" t="str">
        <x:v>TV footage not confirmed — verify</x:v>
      </x:c>
      <x:c r="AD525" s="9" t="str">
        <x:v>Unknown — verify</x:v>
      </x:c>
      <x:c r="AE525" s="9" t="str">
        <x:v>Unknown — verify</x:v>
      </x:c>
      <x:c r="AF525" s="9" t="str">
        <x:v>It's the only title with the animated first Bandai Digital Entertainment logo (avid.wiki).</x:v>
      </x:c>
      <x:c r="AG525" s="9" t="str">
        <x:v>US @WORLD only</x:v>
      </x:c>
      <x:c r="AH525" s="9" t="str">
        <x:v>No</x:v>
      </x:c>
      <x:c r="AI525" s="9" t="str">
        <x:v>Expensive</x:v>
      </x:c>
      <x:c r="AJ525" s="9" t="str">
        <x:v>Pippin @WORLD hardware; DingusPPC or MAME 'pippin' driver (both limited/experimental)</x:v>
      </x:c>
      <x:c r="AK525" s="9" t="str">
        <x:v>fmv 2 is a guess: no source says whether it uses show footage. Giant Bomb lists 4 Mar 1996, which is probably wrong for Pippin since the @WORLD launched Dec 1996. Set fmv 0 if it has no video.</x:v>
      </x:c>
      <x:c r="AL525" s="10"/>
      <x:c r="AM525" s="10"/>
      <x:c r="AN525" s="10"/>
      <x:c r="AO525" s="9"/>
      <x:c r="AP525" s="11" t="str">
        <x:f>HYPERLINK("https://www.pricecharting.com/game/pippin/power-rangers-zeo-versus-the-machine-empire","PriceCharting")</x:f>
        <x:v>PriceCharting</x:v>
      </x:c>
      <x:c r="AQ525" s="9"/>
      <x:c r="AR525" s="9"/>
      <x:c r="AS525" s="9"/>
      <x:c r="AT525" s="9"/>
      <x:c r="AU525" s="9"/>
      <x:c r="AV525" s="9"/>
      <x:c r="AW525" s="9"/>
      <x:c r="AX525" s="9"/>
      <x:c r="AY525" s="9"/>
      <x:c r="AZ525" s="9"/>
      <x:c r="BA525" s="11" t="str">
        <x:f>HYPERLINK("https://www.mobygames.com/search/?q=Power+Rangers+Zeo+Versus+the+Machine+Empire","MobyGames")</x:f>
        <x:v>MobyGames</x:v>
      </x:c>
      <x:c r="BB525" s="9"/>
      <x:c r="BC525" s="9"/>
      <x:c r="BD525" s="9"/>
      <x:c r="BE525" s="9"/>
      <x:c r="BF525" s="11" t="str">
        <x:f>HYPERLINK("https://backloggd.com/search/games/Power%20Rangers%20Zeo%20Versus%20the%20Machine%20Empire/","Backloggd")</x:f>
        <x:v>Backloggd</x:v>
      </x:c>
      <x:c r="BG525" s="9"/>
      <x:c r="BH525" s="9"/>
      <x:c r="BI525" s="12" t="str">
        <x:v>No</x:v>
      </x:c>
      <x:c r="BJ525" s="12" t="str"/>
      <x:c r="BK525" s="12" t="str">
        <x:v>No</x:v>
      </x:c>
      <x:c r="BL525" s="12" t="str"/>
      <x:c r="BM525" s="12" t="str"/>
      <x:c r="BN525" s="12" t="str"/>
      <x:c r="BO525" s="12" t="str"/>
      <x:c r="BP525" s="12" t="str"/>
      <x:c r="BQ525" s="12" t="str"/>
    </x:row>
    <x:row r="526">
      <x:c r="A526" s="9" t="str">
        <x:v>pippin-6</x:v>
      </x:c>
      <x:c r="B526" s="9" t="str">
        <x:v>l-zone</x:v>
      </x:c>
      <x:c r="C526" s="9" t="str">
        <x:v>Apple Bandai Pippin</x:v>
      </x:c>
      <x:c r="D526" s="9" t="str">
        <x:v>L-Zone</x:v>
      </x:c>
      <x:c r="E526" s="9" t="str">
        <x:v>L-Zone Interactive Theater</x:v>
      </x:c>
      <x:c r="F526" s="9" t="str">
        <x:v>Synergy, Infocity</x:v>
      </x:c>
      <x:c r="G526" s="9" t="str">
        <x:v>Bandai Digital Entertainment (JP Pippin)</x:v>
      </x:c>
      <x:c r="H526" s="9" t="n">
        <x:v>1996</x:v>
      </x:c>
      <x:c r="I526" s="9" t="str">
        <x:v>No</x:v>
      </x:c>
      <x:c r="J526" s="9" t="str">
        <x:v>Yes</x:v>
      </x:c>
      <x:c r="K526" s="9" t="str">
        <x:v>No</x:v>
      </x:c>
      <x:c r="L526" s="9" t="str">
        <x:v>No</x:v>
      </x:c>
      <x:c r="M526" s="9" t="str">
        <x:v>Puzzle adventure</x:v>
      </x:c>
      <x:c r="N526" s="9" t="str">
        <x:v>Pre-rendered CG</x:v>
      </x:c>
      <x:c r="O526" s="9" t="n">
        <x:v>5</x:v>
      </x:c>
      <x:c r="P526" s="9" t="str">
        <x:v>Pre-rendered CG</x:v>
      </x:c>
      <x:c r="Q526" s="9" t="str">
        <x:v>Released</x:v>
      </x:c>
      <x:c r="R526" s="9" t="str">
        <x:v>Mac/Windows 3.1 original (Synergy, Dec 1992; US by Synergy Interactive 1993)</x:v>
      </x:c>
      <x:c r="S526" s="9" t="str">
        <x:v>Macintosh, Windows 3.1</x:v>
      </x:c>
      <x:c r="T526" s="9" t="str">
        <x:v>—</x:v>
      </x:c>
      <x:c r="U526" s="9" t="n">
        <x:v>1</x:v>
      </x:c>
      <x:c r="V526" s="9" t="str">
        <x:v>Unknown — verify</x:v>
      </x:c>
      <x:c r="W526" s="9" t="str">
        <x:v>Pippin AppleJack controller</x:v>
      </x:c>
      <x:c r="X526" s="9" t="str">
        <x:v>Low</x:v>
      </x:c>
      <x:c r="Y526" s="9" t="str"/>
      <x:c r="Z526" s="9" t="str">
        <x:v>1–2 hr (verify)</x:v>
      </x:c>
      <x:c r="AA526" s="9" t="str">
        <x:v>One of the first pre-rendered CG CD-ROM adventures, a Myst-before-Myst machine world revived for the Pippin.</x:v>
      </x:c>
      <x:c r="AB526" s="9" t="str">
        <x:v>None known</x:v>
      </x:c>
      <x:c r="AC526" s="9" t="str">
        <x:v>Pre-rendered CG animations of the machines; window size/frame rate — verify</x:v>
      </x:c>
      <x:c r="AD526" s="9" t="str">
        <x:v>Unknown — verify</x:v>
      </x:c>
      <x:c r="AE526" s="9" t="str">
        <x:v>Unknown — verify</x:v>
      </x:c>
      <x:c r="AF526" s="9" t="str">
        <x:v>The 1992 original predates Myst.</x:v>
      </x:c>
      <x:c r="AG526" s="9" t="str">
        <x:v>Japanese Atmark port (March 1996)</x:v>
      </x:c>
      <x:c r="AH526" s="9" t="str">
        <x:v>No</x:v>
      </x:c>
      <x:c r="AI526" s="9" t="str">
        <x:v>Import</x:v>
      </x:c>
      <x:c r="AJ526" s="9" t="str">
        <x:v>Mac/Win original in SheepShaver or Basilisk II; Pippin via DingusPPC or MAME 'pippin' driver (both limited/experimental)</x:v>
      </x:c>
      <x:c r="AK526" s="9" t="str">
        <x:v>FMV amount is a guess from the original's pre-rendered animations (verify).</x:v>
      </x:c>
      <x:c r="AL526" s="10"/>
      <x:c r="AM526" s="10"/>
      <x:c r="AN526" s="10"/>
      <x:c r="AO526" s="9"/>
      <x:c r="AP526" s="11" t="str">
        <x:f>HYPERLINK("https://www.pricecharting.com/game/pippin/l-zone","PriceCharting")</x:f>
        <x:v>PriceCharting</x:v>
      </x:c>
      <x:c r="AQ526" s="9"/>
      <x:c r="AR526" s="9"/>
      <x:c r="AS526" s="9"/>
      <x:c r="AT526" s="9"/>
      <x:c r="AU526" s="9"/>
      <x:c r="AV526" s="9"/>
      <x:c r="AW526" s="9"/>
      <x:c r="AX526" s="9"/>
      <x:c r="AY526" s="9"/>
      <x:c r="AZ526" s="9" t="str">
        <x:v>5.0</x:v>
      </x:c>
      <x:c r="BA526" s="11" t="str">
        <x:f>HYPERLINK("https://www.mobygames.com/game/pippin/l-zone","MobyGames")</x:f>
        <x:v>MobyGames</x:v>
      </x:c>
      <x:c r="BB526" s="9"/>
      <x:c r="BC526" s="9"/>
      <x:c r="BD526" s="9"/>
      <x:c r="BE526" s="9"/>
      <x:c r="BF526" s="11" t="str">
        <x:f>HYPERLINK("https://backloggd.com/search/games/L-Zone/","Backloggd")</x:f>
        <x:v>Backloggd</x:v>
      </x:c>
      <x:c r="BG526" s="9"/>
      <x:c r="BH526" s="9"/>
      <x:c r="BI526" s="12" t="str">
        <x:v>No</x:v>
      </x:c>
      <x:c r="BJ526" s="12" t="str"/>
      <x:c r="BK526" s="12" t="str">
        <x:v>No</x:v>
      </x:c>
      <x:c r="BL526" s="12" t="str"/>
      <x:c r="BM526" s="12" t="str"/>
      <x:c r="BN526" s="12" t="str"/>
      <x:c r="BO526" s="12" t="str"/>
      <x:c r="BP526" s="12" t="str"/>
      <x:c r="BQ526" s="12" t="str"/>
    </x:row>
    <x:row r="527">
      <x:c r="A527" s="9" t="str">
        <x:v>pippin-7</x:v>
      </x:c>
      <x:c r="B527" s="9" t="str">
        <x:v>dazzeloids</x:v>
      </x:c>
      <x:c r="C527" s="9" t="str">
        <x:v>Apple Bandai Pippin</x:v>
      </x:c>
      <x:c r="D527" s="9" t="str">
        <x:v>Dazzeloids</x:v>
      </x:c>
      <x:c r="E527" s="9" t="str">
        <x:v>Dazzeloids: CD-ROM Superheroes on a Binge Against Boredom</x:v>
      </x:c>
      <x:c r="F527" s="9" t="str">
        <x:v>Rodney Alan Greenblat (with Jenny Horn, Trish Booten)</x:v>
      </x:c>
      <x:c r="G527" s="9" t="str">
        <x:v>Voyager (JP Pippin)</x:v>
      </x:c>
      <x:c r="H527" s="9" t="n">
        <x:v>1996</x:v>
      </x:c>
      <x:c r="I527" s="9" t="str">
        <x:v>No</x:v>
      </x:c>
      <x:c r="J527" s="9" t="str">
        <x:v>Yes</x:v>
      </x:c>
      <x:c r="K527" s="9" t="str">
        <x:v>No</x:v>
      </x:c>
      <x:c r="L527" s="9" t="str">
        <x:v>No</x:v>
      </x:c>
      <x:c r="M527" s="9" t="str">
        <x:v>Interactive animated story</x:v>
      </x:c>
      <x:c r="N527" s="9" t="str">
        <x:v>Animated</x:v>
      </x:c>
      <x:c r="O527" s="9" t="n">
        <x:v>2</x:v>
      </x:c>
      <x:c r="P527" s="9" t="str">
        <x:v>Cutscenes only</x:v>
      </x:c>
      <x:c r="Q527" s="9" t="str">
        <x:v>Released</x:v>
      </x:c>
      <x:c r="R527" s="9" t="str">
        <x:v>Mac/Win 3.1 original (Voyager, 1994)</x:v>
      </x:c>
      <x:c r="S527" s="9" t="str">
        <x:v>Macintosh, Windows 3.1 (hybrid disc)</x:v>
      </x:c>
      <x:c r="T527" s="9" t="str">
        <x:v>—</x:v>
      </x:c>
      <x:c r="U527" s="9" t="n">
        <x:v>1</x:v>
      </x:c>
      <x:c r="V527" s="9" t="str">
        <x:v>Unknown — verify</x:v>
      </x:c>
      <x:c r="W527" s="9" t="str">
        <x:v>Pippin AppleJack controller</x:v>
      </x:c>
      <x:c r="X527" s="9" t="str">
        <x:v>Low</x:v>
      </x:c>
      <x:c r="Y527" s="9" t="str"/>
      <x:c r="Z527" s="9" t="str">
        <x:v>30–60 min</x:v>
      </x:c>
      <x:c r="AA527" s="9" t="str">
        <x:v>Rodney Greenblat (later the artist on PaRappa the Rapper) made this award-winning superhero storybook, which ended up on the Pippin.</x:v>
      </x:c>
      <x:c r="AB527" s="9" t="str">
        <x:v>None known</x:v>
      </x:c>
      <x:c r="AC527" s="9" t="str">
        <x:v>Macromedia Director animation, not streamed video (verify)</x:v>
      </x:c>
      <x:c r="AD527" s="9" t="str">
        <x:v>None (children's title)</x:v>
      </x:c>
      <x:c r="AE527" s="9" t="str">
        <x:v>Four story segments</x:v>
      </x:c>
      <x:c r="AF527" s="9" t="str">
        <x:v>It won Best CD-ROM for Children at COMDEX 1995. The Pippin version came out on 7 June 1996.</x:v>
      </x:c>
      <x:c r="AG527" s="9" t="str">
        <x:v>Japanese Atmark release; original Mac/Win hybrid</x:v>
      </x:c>
      <x:c r="AH527" s="9" t="str">
        <x:v>No</x:v>
      </x:c>
      <x:c r="AI527" s="9" t="str">
        <x:v>Import</x:v>
      </x:c>
      <x:c r="AJ527" s="9" t="str">
        <x:v>The original Mac/Win disc in SheepShaver or Basilisk II; Pippin via DingusPPC or MAME 'pippin' driver (both limited/experimental)</x:v>
      </x:c>
      <x:c r="AK527" s="9" t="str">
        <x:v>An interactive story, so it's in scope. Its animation is Director-driven rather than streamed video, so fmv is low.</x:v>
      </x:c>
      <x:c r="AL527" s="10"/>
      <x:c r="AM527" s="10"/>
      <x:c r="AN527" s="10"/>
      <x:c r="AO527" s="9"/>
      <x:c r="AP527" s="11" t="str">
        <x:f>HYPERLINK("https://www.pricecharting.com/search-products?q=Dazzeloids+pippin&amp;type=prices","PriceCharting")</x:f>
        <x:v>PriceCharting</x:v>
      </x:c>
      <x:c r="AQ527" s="9"/>
      <x:c r="AR527" s="9"/>
      <x:c r="AS527" s="9"/>
      <x:c r="AT527" s="9"/>
      <x:c r="AU527" s="9"/>
      <x:c r="AV527" s="9"/>
      <x:c r="AW527" s="9"/>
      <x:c r="AX527" s="9"/>
      <x:c r="AY527" s="9"/>
      <x:c r="AZ527" s="9"/>
      <x:c r="BA527" s="11" t="str">
        <x:f>HYPERLINK("https://www.mobygames.com/search/?q=Dazzeloids","MobyGames")</x:f>
        <x:v>MobyGames</x:v>
      </x:c>
      <x:c r="BB527" s="9"/>
      <x:c r="BC527" s="9"/>
      <x:c r="BD527" s="9"/>
      <x:c r="BE527" s="9"/>
      <x:c r="BF527" s="11" t="str">
        <x:f>HYPERLINK("https://backloggd.com/search/games/Dazzeloids/","Backloggd")</x:f>
        <x:v>Backloggd</x:v>
      </x:c>
      <x:c r="BG527" s="9"/>
      <x:c r="BH527" s="9"/>
      <x:c r="BI527" s="12" t="str">
        <x:v>No</x:v>
      </x:c>
      <x:c r="BJ527" s="12" t="str"/>
      <x:c r="BK527" s="12" t="str">
        <x:v>No</x:v>
      </x:c>
      <x:c r="BL527" s="12" t="str"/>
      <x:c r="BM527" s="12" t="str"/>
      <x:c r="BN527" s="12" t="str"/>
      <x:c r="BO527" s="12" t="str"/>
      <x:c r="BP527" s="12" t="str"/>
      <x:c r="BQ527" s="12" t="str"/>
    </x:row>
    <x:row r="528">
      <x:c r="A528" s="9" t="str">
        <x:v>pippin-8</x:v>
      </x:c>
      <x:c r="B528" s="9" t="str">
        <x:v>gus-goes-to-the-kooky-carnival</x:v>
      </x:c>
      <x:c r="C528" s="9" t="str">
        <x:v>Apple Bandai Pippin</x:v>
      </x:c>
      <x:c r="D528" s="9" t="str">
        <x:v>Gus Goes to the Kooky Carnival</x:v>
      </x:c>
      <x:c r="E528" s="9" t="str"/>
      <x:c r="F528" s="9" t="str">
        <x:v>Modern Media Ventures</x:v>
      </x:c>
      <x:c r="G528" s="9" t="str">
        <x:v>Bandai Digital Entertainment (NA Pippin)</x:v>
      </x:c>
      <x:c r="H528" s="9" t="n">
        <x:v>1996</x:v>
      </x:c>
      <x:c r="I528" s="9" t="str">
        <x:v>Yes</x:v>
      </x:c>
      <x:c r="J528" s="9" t="str">
        <x:v>No</x:v>
      </x:c>
      <x:c r="K528" s="9" t="str">
        <x:v>No</x:v>
      </x:c>
      <x:c r="L528" s="9" t="str">
        <x:v>No</x:v>
      </x:c>
      <x:c r="M528" s="9" t="str">
        <x:v>Kids' activity games</x:v>
      </x:c>
      <x:c r="N528" s="9" t="str">
        <x:v>Animated</x:v>
      </x:c>
      <x:c r="O528" s="9" t="n">
        <x:v>1</x:v>
      </x:c>
      <x:c r="P528" s="9" t="str">
        <x:v>Cutscenes only</x:v>
      </x:c>
      <x:c r="Q528" s="9" t="str">
        <x:v>Released</x:v>
      </x:c>
      <x:c r="R528" s="9" t="str">
        <x:v>Gus series CD-ROMs (Modern Media Ventures)</x:v>
      </x:c>
      <x:c r="S528" s="9" t="str">
        <x:v>Mac/Windows (verify)</x:v>
      </x:c>
      <x:c r="T528" s="9" t="str">
        <x:v>—</x:v>
      </x:c>
      <x:c r="U528" s="9" t="n">
        <x:v>1</x:v>
      </x:c>
      <x:c r="V528" s="9" t="str">
        <x:v>Unknown — verify</x:v>
      </x:c>
      <x:c r="W528" s="9" t="str">
        <x:v>Pippin AppleJack controller</x:v>
      </x:c>
      <x:c r="X528" s="9" t="str">
        <x:v>Low</x:v>
      </x:c>
      <x:c r="Y528" s="9" t="str"/>
      <x:c r="Z528" s="9" t="str">
        <x:v>Open-ended</x:v>
      </x:c>
      <x:c r="AA528" s="9" t="str">
        <x:v>Gus the cartoon character's carnival games, one of the US @WORLD's few kids' discs.</x:v>
      </x:c>
      <x:c r="AB528" s="9" t="str">
        <x:v>None known</x:v>
      </x:c>
      <x:c r="AC528" s="9" t="str">
        <x:v>Cartoon animation; streamed video not confirmed</x:v>
      </x:c>
      <x:c r="AD528" s="9" t="str">
        <x:v>Unknown — verify</x:v>
      </x:c>
      <x:c r="AE528" s="9" t="str">
        <x:v>Unknown — verify</x:v>
      </x:c>
      <x:c r="AF528" s="9" t="str"/>
      <x:c r="AG528" s="9" t="str">
        <x:v>Unknown — verify</x:v>
      </x:c>
      <x:c r="AH528" s="9" t="str">
        <x:v>No</x:v>
      </x:c>
      <x:c r="AI528" s="9" t="str">
        <x:v>Expensive</x:v>
      </x:c>
      <x:c r="AJ528" s="9" t="str">
        <x:v>Pippin @WORLD hardware; DingusPPC or MAME 'pippin' driver (both limited/experimental)</x:v>
      </x:c>
      <x:c r="AK528" s="9" t="str">
        <x:v>Couldn't find a Pippin-specific source. fmv 1 is a guess. If it's purely educational, exclude it.</x:v>
      </x:c>
      <x:c r="AL528" s="10" t="n">
        <x:v>202.5</x:v>
      </x:c>
      <x:c r="AM528" s="10" t="n">
        <x:v>445.5</x:v>
      </x:c>
      <x:c r="AN528" s="10" t="n">
        <x:v>911.25</x:v>
      </x:c>
      <x:c r="AO528" s="9" t="str">
        <x:v>2026-10-24</x:v>
      </x:c>
      <x:c r="AP528" s="11" t="str">
        <x:f>HYPERLINK("https://www.pricecharting.com/search-products?q=Gus+Goes+to+the+Kooky+Carnival+pippin&amp;type=prices","PriceCharting")</x:f>
        <x:v>PriceCharting</x:v>
      </x:c>
      <x:c r="AQ528" s="9"/>
      <x:c r="AR528" s="9"/>
      <x:c r="AS528" s="9"/>
      <x:c r="AT528" s="9"/>
      <x:c r="AU528" s="9"/>
      <x:c r="AV528" s="9"/>
      <x:c r="AW528" s="9"/>
      <x:c r="AX528" s="9"/>
      <x:c r="AY528" s="9"/>
      <x:c r="AZ528" s="9"/>
      <x:c r="BA528" s="11" t="str">
        <x:f>HYPERLINK("https://www.mobygames.com/search/?q=Gus+Goes+to+the+Kooky+Carnival","MobyGames")</x:f>
        <x:v>MobyGames</x:v>
      </x:c>
      <x:c r="BB528" s="9"/>
      <x:c r="BC528" s="9"/>
      <x:c r="BD528" s="9"/>
      <x:c r="BE528" s="9"/>
      <x:c r="BF528" s="11" t="str">
        <x:f>HYPERLINK("https://backloggd.com/search/games/Gus%20Goes%20to%20the%20Kooky%20Carnival/","Backloggd")</x:f>
        <x:v>Backloggd</x:v>
      </x:c>
      <x:c r="BG528" s="9"/>
      <x:c r="BH528" s="9"/>
      <x:c r="BI528" s="12" t="str">
        <x:v>No</x:v>
      </x:c>
      <x:c r="BJ528" s="12" t="str"/>
      <x:c r="BK528" s="12" t="str">
        <x:v>No</x:v>
      </x:c>
      <x:c r="BL528" s="12" t="str"/>
      <x:c r="BM528" s="12" t="str"/>
      <x:c r="BN528" s="12" t="str"/>
      <x:c r="BO528" s="12" t="str"/>
      <x:c r="BP528" s="12" t="str"/>
      <x:c r="BQ528" s="12" t="str"/>
    </x:row>
    <x:row r="529">
      <x:c r="A529" s="9" t="str">
        <x:v>pippin-9</x:v>
      </x:c>
      <x:c r="B529" s="9" t="str">
        <x:v>mr-potato-head-saves-veggie-valley</x:v>
      </x:c>
      <x:c r="C529" s="9" t="str">
        <x:v>Apple Bandai Pippin</x:v>
      </x:c>
      <x:c r="D529" s="9" t="str">
        <x:v>Mr. Potato Head Saves Veggie Valley</x:v>
      </x:c>
      <x:c r="E529" s="9" t="str"/>
      <x:c r="F529" s="9" t="str">
        <x:v>Duck Soup Productions with Turning Point Software</x:v>
      </x:c>
      <x:c r="G529" s="9" t="str">
        <x:v>Hasbro Interactive (Mac/Win); Bandai Digital Entertainment (Pippin)</x:v>
      </x:c>
      <x:c r="H529" s="9" t="n">
        <x:v>1996</x:v>
      </x:c>
      <x:c r="I529" s="9" t="str">
        <x:v>Yes</x:v>
      </x:c>
      <x:c r="J529" s="9" t="str">
        <x:v>No</x:v>
      </x:c>
      <x:c r="K529" s="9" t="str">
        <x:v>No</x:v>
      </x:c>
      <x:c r="L529" s="9" t="str">
        <x:v>No</x:v>
      </x:c>
      <x:c r="M529" s="9" t="str">
        <x:v>Kids' adventure / puzzle</x:v>
      </x:c>
      <x:c r="N529" s="9" t="str">
        <x:v>Animated</x:v>
      </x:c>
      <x:c r="O529" s="9" t="n">
        <x:v>1</x:v>
      </x:c>
      <x:c r="P529" s="9" t="str">
        <x:v>Cutscenes only</x:v>
      </x:c>
      <x:c r="Q529" s="9" t="str">
        <x:v>Released</x:v>
      </x:c>
      <x:c r="R529" s="9" t="str">
        <x:v>Mac/Win 3.1 original (Hasbro Interactive, Jan 1996)</x:v>
      </x:c>
      <x:c r="S529" s="9" t="str">
        <x:v>Macintosh, Windows 3.1; Mac Kids Pack (2000)</x:v>
      </x:c>
      <x:c r="T529" s="9" t="str">
        <x:v>—</x:v>
      </x:c>
      <x:c r="U529" s="9" t="n">
        <x:v>1</x:v>
      </x:c>
      <x:c r="V529" s="9" t="str">
        <x:v>Unknown — verify</x:v>
      </x:c>
      <x:c r="W529" s="9" t="str">
        <x:v>Pippin AppleJack controller</x:v>
      </x:c>
      <x:c r="X529" s="9" t="str">
        <x:v>Low</x:v>
      </x:c>
      <x:c r="Y529" s="9" t="str"/>
      <x:c r="Z529" s="9" t="str">
        <x:v>1–2 hr</x:v>
      </x:c>
      <x:c r="AA529" s="9" t="str">
        <x:v>Mr. Potato Head and Sweet Potato try to bring rain to Veggie Valley, on Bandai's ill-fated console.</x:v>
      </x:c>
      <x:c r="AB529" s="9" t="str">
        <x:v>None known</x:v>
      </x:c>
      <x:c r="AC529" s="9" t="str">
        <x:v>Cartoon animation; streamed video not confirmed</x:v>
      </x:c>
      <x:c r="AD529" s="9" t="str">
        <x:v>Easy (children's title)</x:v>
      </x:c>
      <x:c r="AE529" s="9" t="str">
        <x:v>Unknown — verify</x:v>
      </x:c>
      <x:c r="AF529" s="9" t="str">
        <x:v>Released alongside the @WORLD launch in December 1996 and shown at E3 1997.</x:v>
      </x:c>
      <x:c r="AG529" s="9" t="str">
        <x:v>US @WORLD</x:v>
      </x:c>
      <x:c r="AH529" s="9" t="str">
        <x:v>No</x:v>
      </x:c>
      <x:c r="AI529" s="9" t="str">
        <x:v>Expensive</x:v>
      </x:c>
      <x:c r="AJ529" s="9" t="str">
        <x:v>Mac version in SheepShaver/Basilisk II; Pippin via DingusPPC or MAME 'pippin' driver (both limited/experimental)</x:v>
      </x:c>
      <x:c r="AK529" s="9" t="str">
        <x:v>A children's adventure game. fmv 1 is a guess. Mac version is a separate disc (not confirmed hybrid).</x:v>
      </x:c>
      <x:c r="AL529" s="10"/>
      <x:c r="AM529" s="10"/>
      <x:c r="AN529" s="10"/>
      <x:c r="AO529" s="9"/>
      <x:c r="AP529" s="11" t="str">
        <x:f>HYPERLINK("https://www.pricecharting.com/game/pippin/mr-potato-head-saves-veggie-valley","PriceCharting")</x:f>
        <x:v>PriceCharting</x:v>
      </x:c>
      <x:c r="AQ529" s="9"/>
      <x:c r="AR529" s="9"/>
      <x:c r="AS529" s="9"/>
      <x:c r="AT529" s="9"/>
      <x:c r="AU529" s="9"/>
      <x:c r="AV529" s="9"/>
      <x:c r="AW529" s="9"/>
      <x:c r="AX529" s="9"/>
      <x:c r="AY529" s="9"/>
      <x:c r="AZ529" s="9" t="str">
        <x:v>5.0</x:v>
      </x:c>
      <x:c r="BA529" s="11" t="str">
        <x:f>HYPERLINK("https://www.mobygames.com/game/pippin/mr-potato-head-saves-veggie-valley","MobyGames")</x:f>
        <x:v>MobyGames</x:v>
      </x:c>
      <x:c r="BB529" s="9"/>
      <x:c r="BC529" s="9"/>
      <x:c r="BD529" s="9"/>
      <x:c r="BE529" s="9"/>
      <x:c r="BF529" s="11" t="str">
        <x:f>HYPERLINK("https://backloggd.com/search/games/Mr.%20Potato%20Head%20Saves%20Veggie%20Valley/","Backloggd")</x:f>
        <x:v>Backloggd</x:v>
      </x:c>
      <x:c r="BG529" s="9"/>
      <x:c r="BH529" s="9"/>
      <x:c r="BI529" s="12" t="str">
        <x:v>No</x:v>
      </x:c>
      <x:c r="BJ529" s="12" t="str"/>
      <x:c r="BK529" s="12" t="str">
        <x:v>No</x:v>
      </x:c>
      <x:c r="BL529" s="12" t="str"/>
      <x:c r="BM529" s="12" t="str"/>
      <x:c r="BN529" s="12" t="str"/>
      <x:c r="BO529" s="12" t="str"/>
      <x:c r="BP529" s="12" t="str"/>
      <x:c r="BQ529" s="12" t="str"/>
    </x:row>
    <x:row r="530">
      <x:c r="A530" s="9" t="str">
        <x:v>pippin-10</x:v>
      </x:c>
      <x:c r="B530" s="9" t="str">
        <x:v>zukkoke-sanningumi-drama-satsujin-jiken</x:v>
      </x:c>
      <x:c r="C530" s="9" t="str">
        <x:v>Apple Bandai Pippin</x:v>
      </x:c>
      <x:c r="D530" s="9" t="str">
        <x:v>Zukkoke Threesome: Drama Murder Case</x:v>
      </x:c>
      <x:c r="E530" s="9" t="str">
        <x:v>ズッコケ三人組 ドラマ殺人事件</x:v>
      </x:c>
      <x:c r="F530" s="9" t="str">
        <x:v>Bandai Digital Entertainment (BDEC) — verify</x:v>
      </x:c>
      <x:c r="G530" s="9" t="str">
        <x:v>Bandai Digital Entertainment (JP)</x:v>
      </x:c>
      <x:c r="H530" s="9" t="n">
        <x:v>1997</x:v>
      </x:c>
      <x:c r="I530" s="9" t="str">
        <x:v>No</x:v>
      </x:c>
      <x:c r="J530" s="9" t="str">
        <x:v>Yes</x:v>
      </x:c>
      <x:c r="K530" s="9" t="str">
        <x:v>No</x:v>
      </x:c>
      <x:c r="L530" s="9" t="str">
        <x:v>No</x:v>
      </x:c>
      <x:c r="M530" s="9" t="str">
        <x:v>Mystery adventure</x:v>
      </x:c>
      <x:c r="N530" s="9" t="str">
        <x:v>Live-action</x:v>
      </x:c>
      <x:c r="O530" s="9" t="n">
        <x:v>7</x:v>
      </x:c>
      <x:c r="P530" s="9" t="str">
        <x:v>FMV adventure</x:v>
      </x:c>
      <x:c r="Q530" s="9" t="str">
        <x:v>Released</x:v>
      </x:c>
      <x:c r="R530" s="9" t="str">
        <x:v>Zukkoke Sanningumi children's novel series (Masamoto Nasu, Poplar)</x:v>
      </x:c>
      <x:c r="S530" s="9" t="str">
        <x:v>None known</x:v>
      </x:c>
      <x:c r="T530" s="9" t="str">
        <x:v>—</x:v>
      </x:c>
      <x:c r="U530" s="9" t="n">
        <x:v>1</x:v>
      </x:c>
      <x:c r="V530" s="9" t="str">
        <x:v>Unknown — verify</x:v>
      </x:c>
      <x:c r="W530" s="9" t="str">
        <x:v>Pippin AppleJack controller</x:v>
      </x:c>
      <x:c r="X530" s="9" t="str">
        <x:v>Low–Med</x:v>
      </x:c>
      <x:c r="Y530" s="9" t="str">
        <x:v>Licensed property; footage source unknown</x:v>
      </x:c>
      <x:c r="Z530" s="9" t="str">
        <x:v>Unknown — verify</x:v>
      </x:c>
      <x:c r="AA530" s="9" t="str">
        <x:v>Japan's best-loved kids' detective trio in a Pippin-exclusive murder mystery.</x:v>
      </x:c>
      <x:c r="AB530" s="9" t="str">
        <x:v>None known</x:v>
      </x:c>
      <x:c r="AC530" s="9" t="str">
        <x:v>Macintosh Repository files it under FMV; whether it's live-action or animated is unconfirmed</x:v>
      </x:c>
      <x:c r="AD530" s="9" t="str">
        <x:v>Unknown — verify</x:v>
      </x:c>
      <x:c r="AE530" s="9" t="str">
        <x:v>Unknown — verify</x:v>
      </x:c>
      <x:c r="AF530" s="9" t="str">
        <x:v>Catalog #30 in the 1996 Atmark catalog, released in 1997 (Macintosh Repository).</x:v>
      </x:c>
      <x:c r="AG530" s="9" t="str">
        <x:v>Japanese Atmark only</x:v>
      </x:c>
      <x:c r="AH530" s="9" t="str">
        <x:v>No</x:v>
      </x:c>
      <x:c r="AI530" s="9" t="str">
        <x:v>Import</x:v>
      </x:c>
      <x:c r="AJ530" s="9" t="str">
        <x:v>Pippin Atmark hardware; DingusPPC or MAME 'pippin' driver (both limited/experimental)</x:v>
      </x:c>
      <x:c r="AK530" s="9" t="str">
        <x:v>fmvType and fmv 7 are guesses: the only evidence is Macintosh Repository's FMV tag. The 'drama' in the title suggests live-action, but that's unconfirmed.</x:v>
      </x:c>
      <x:c r="AL530" s="10"/>
      <x:c r="AM530" s="10"/>
      <x:c r="AN530" s="10"/>
      <x:c r="AO530" s="9"/>
      <x:c r="AP530" s="11" t="str">
        <x:f>HYPERLINK("https://www.pricecharting.com/search-products?q=Zukkoke+Threesome%3A+Drama+Murder+Case+pippin&amp;type=prices","PriceCharting")</x:f>
        <x:v>PriceCharting</x:v>
      </x:c>
      <x:c r="AQ530" s="9"/>
      <x:c r="AR530" s="9"/>
      <x:c r="AS530" s="9"/>
      <x:c r="AT530" s="9"/>
      <x:c r="AU530" s="9"/>
      <x:c r="AV530" s="9"/>
      <x:c r="AW530" s="9"/>
      <x:c r="AX530" s="9"/>
      <x:c r="AY530" s="9"/>
      <x:c r="AZ530" s="9"/>
      <x:c r="BA530" s="11" t="str">
        <x:f>HYPERLINK("https://www.mobygames.com/search/?q=Zukkoke+Threesome%3A+Drama+Murder+Case","MobyGames")</x:f>
        <x:v>MobyGames</x:v>
      </x:c>
      <x:c r="BB530" s="9"/>
      <x:c r="BC530" s="9"/>
      <x:c r="BD530" s="9"/>
      <x:c r="BE530" s="9"/>
      <x:c r="BF530" s="11" t="str">
        <x:f>HYPERLINK("https://backloggd.com/search/games/Zukkoke%20Threesome%3A%20Drama%20Murder%20Case/","Backloggd")</x:f>
        <x:v>Backloggd</x:v>
      </x:c>
      <x:c r="BG530" s="9"/>
      <x:c r="BH530" s="9"/>
      <x:c r="BI530" s="12" t="str">
        <x:v>No</x:v>
      </x:c>
      <x:c r="BJ530" s="12" t="str"/>
      <x:c r="BK530" s="12" t="str">
        <x:v>No</x:v>
      </x:c>
      <x:c r="BL530" s="12" t="str"/>
      <x:c r="BM530" s="12" t="str"/>
      <x:c r="BN530" s="12" t="str"/>
      <x:c r="BO530" s="12" t="str"/>
      <x:c r="BP530" s="12" t="str"/>
      <x:c r="BQ530" s="12" t="str"/>
    </x:row>
    <x:row r="531">
      <x:c r="A531" s="9" t="str">
        <x:v>pc-1</x:v>
      </x:c>
      <x:c r="B531" s="9" t="str">
        <x:v>the-7th-guest</x:v>
      </x:c>
      <x:c r="C531" s="9" t="str">
        <x:v>PC</x:v>
      </x:c>
      <x:c r="D531" s="9" t="str">
        <x:v>The 7th Guest</x:v>
      </x:c>
      <x:c r="E531" s="9" t="str"/>
      <x:c r="F531" s="9" t="str">
        <x:v>Trilobyte</x:v>
      </x:c>
      <x:c r="G531" s="9" t="str">
        <x:v>Virgin Games</x:v>
      </x:c>
      <x:c r="H531" s="9" t="n">
        <x:v>1993</x:v>
      </x:c>
      <x:c r="I531" s="9" t="str">
        <x:v>Yes</x:v>
      </x:c>
      <x:c r="J531" s="9" t="str">
        <x:v>No</x:v>
      </x:c>
      <x:c r="K531" s="9" t="str">
        <x:v>Yes</x:v>
      </x:c>
      <x:c r="L531" s="9" t="str">
        <x:v>No</x:v>
      </x:c>
      <x:c r="M531" s="9" t="str">
        <x:v>Puzzle adventure</x:v>
      </x:c>
      <x:c r="N531" s="9" t="str">
        <x:v>Live-action + pre-rendered CG</x:v>
      </x:c>
      <x:c r="O531" s="9" t="n">
        <x:v>6</x:v>
      </x:c>
      <x:c r="P531" s="9" t="str">
        <x:v>FMV adventure</x:v>
      </x:c>
      <x:c r="Q531" s="9" t="str">
        <x:v>Released</x:v>
      </x:c>
      <x:c r="R531" s="9" t="str">
        <x:v>PC original</x:v>
      </x:c>
      <x:c r="S531" s="9" t="str">
        <x:v>CD-i, Mac, iOS/Android (2010s ports)</x:v>
      </x:c>
      <x:c r="T531" s="9" t="str">
        <x:v>Robert Hirschboeck (Henry Stauf), Keith Ranney (Ego), Douglas Knapp (Tad), Debra Ritz Mason (Martine Burden), Larry Roher and Jolene Patrick (Edward and Elinor Knox), Julia Tucker (Julia Heine), Michael Pocaro (Brian Dutton), Ted Lawson (Hamilton Temple)</x:v>
      </x:c>
      <x:c r="U531" s="9" t="n">
        <x:v>2</x:v>
      </x:c>
      <x:c r="V531" s="9" t="str">
        <x:v>Yes</x:v>
      </x:c>
      <x:c r="W531" s="9" t="str">
        <x:v>386/25, 4 MB RAM, 1x CD-ROM, VGA; DOS</x:v>
      </x:c>
      <x:c r="X531" s="9" t="str">
        <x:v>Low</x:v>
      </x:c>
      <x:c r="Y531" s="9" t="str"/>
      <x:c r="Z531" s="9" t="str">
        <x:v>4–8 hr</x:v>
      </x:c>
      <x:c r="AA531" s="9" t="str">
        <x:v>The game that sold CD-ROM drives: ghosts of dead guests act out a toymaker's murder plot inside a CG mansion.</x:v>
      </x:c>
      <x:c r="AB531" s="9" t="str">
        <x:v>In-game hint book in the library (solves a puzzle after three uses)</x:v>
      </x:c>
      <x:c r="AC531" s="9" t="str">
        <x:v>640x320 256-colour pre-rendered rooms; live-action ghost clips in low-res overlay — verify fps</x:v>
      </x:c>
      <x:c r="AD531" s="9" t="str">
        <x:v>Some notoriously hard logic puzzles (microscope/infection, cans)</x:v>
      </x:c>
      <x:c r="AE531" s="9" t="str">
        <x:v>One ending</x:v>
      </x:c>
      <x:c r="AF531" s="9" t="str">
        <x:v>Music by George 'The Fat Man' Sanger; the two-disc set shipped in 1993 when most PCs still had no CD drive.</x:v>
      </x:c>
      <x:c r="AG531" s="9" t="str">
        <x:v>1993 big box (2 CDs); later jewel-case reissues; 25th Anniversary edition (2019)</x:v>
      </x:c>
      <x:c r="AH531" s="9" t="str">
        <x:v>Yes (GOG, Steam)</x:v>
      </x:c>
      <x:c r="AI531" s="9" t="str">
        <x:v>Easy</x:v>
      </x:c>
      <x:c r="AJ531" s="9" t="str">
        <x:v>GOG/Steam (25th Anniversary edition); original discs in ScummVM</x:v>
      </x:c>
      <x:c r="AK531" s="9" t="str">
        <x:v>MobyGames scores not captured: search results returned no snippets and MobyGames blocks fetches (verify).</x:v>
      </x:c>
      <x:c r="AL531" s="10" t="n">
        <x:v>5.26</x:v>
      </x:c>
      <x:c r="AM531" s="10" t="n">
        <x:v>15.95</x:v>
      </x:c>
      <x:c r="AN531" s="10" t="n">
        <x:v>23.76</x:v>
      </x:c>
      <x:c r="AO531" s="9" t="str">
        <x:v>2026-10-24</x:v>
      </x:c>
      <x:c r="AP531" s="11" t="str">
        <x:f>HYPERLINK("https://www.pricecharting.com/game/pc-games/the-7th-guest","PriceCharting")</x:f>
        <x:v>PriceCharting</x:v>
      </x:c>
      <x:c r="AQ531" s="9" t="n">
        <x:v>7.49</x:v>
      </x:c>
      <x:c r="AR531" s="11" t="str">
        <x:v>GOG</x:v>
      </x:c>
      <x:c r="AS531" s="9" t="str">
        <x:f>HYPERLINK("https://www.gog.com/en/game/the_7th_guest_25th_anniversary_edition","Store")</x:f>
        <x:v>Store</x:v>
      </x:c>
      <x:c r="AT531" s="9" t="str">
        <x:v>2026-10-24</x:v>
      </x:c>
      <x:c r="AU531" s="9"/>
      <x:c r="AV531" s="9"/>
      <x:c r="AW531" s="9"/>
      <x:c r="AX531" s="9"/>
      <x:c r="AY531" s="9"/>
      <x:c r="AZ531" s="9"/>
      <x:c r="BA531" s="11" t="str">
        <x:f>HYPERLINK("https://www.mobygames.com/search/?q=The+7th+Guest","MobyGames")</x:f>
        <x:v>MobyGames</x:v>
      </x:c>
      <x:c r="BB531" s="9" t="str">
        <x:v>60%</x:v>
      </x:c>
      <x:c r="BC531" s="9" t="str">
        <x:v>GameRankings, 3 reviews</x:v>
      </x:c>
      <x:c r="BD531" s="9" t="str">
        <x:f>HYPERLINK("https://web.archive.org/web/20191209011945id_/https://www.gamerankings.com/pc/524290-the-7th-guest/","Source")</x:f>
        <x:v>Source</x:v>
      </x:c>
      <x:c r="BE531" s="11" t="str">
        <x:f>HYPERLINK("https://en.wikipedia.org/wiki/The_7th_Guest","Wikipedia")</x:f>
        <x:v>Wikipedia</x:v>
      </x:c>
      <x:c r="BF531" s="11" t="str">
        <x:f>HYPERLINK("https://backloggd.com/search/games/The%207th%20Guest/","Backloggd")</x:f>
        <x:v>Backloggd</x:v>
      </x:c>
      <x:c r="BG531" s="9"/>
      <x:c r="BH531" s="9"/>
      <x:c r="BI531" s="12" t="str">
        <x:v>No</x:v>
      </x:c>
      <x:c r="BJ531" s="12" t="str"/>
      <x:c r="BK531" s="12" t="str">
        <x:v>No</x:v>
      </x:c>
      <x:c r="BL531" s="12" t="str"/>
      <x:c r="BM531" s="12" t="str"/>
      <x:c r="BN531" s="12" t="str"/>
      <x:c r="BO531" s="12" t="str"/>
      <x:c r="BP531" s="12" t="str"/>
      <x:c r="BQ531" s="12" t="str"/>
    </x:row>
    <x:row r="532">
      <x:c r="A532" s="9" t="str">
        <x:v>pc-2</x:v>
      </x:c>
      <x:c r="B532" s="9" t="str">
        <x:v>the-11th-hour</x:v>
      </x:c>
      <x:c r="C532" s="9" t="str">
        <x:v>PC</x:v>
      </x:c>
      <x:c r="D532" s="9" t="str">
        <x:v>The 11th Hour</x:v>
      </x:c>
      <x:c r="E532" s="9" t="str"/>
      <x:c r="F532" s="9" t="str">
        <x:v>Trilobyte</x:v>
      </x:c>
      <x:c r="G532" s="9" t="str">
        <x:v>Virgin Interactive</x:v>
      </x:c>
      <x:c r="H532" s="9" t="n">
        <x:v>1995</x:v>
      </x:c>
      <x:c r="I532" s="9" t="str">
        <x:v>Yes</x:v>
      </x:c>
      <x:c r="J532" s="9" t="str">
        <x:v>No</x:v>
      </x:c>
      <x:c r="K532" s="9" t="str">
        <x:v>Yes</x:v>
      </x:c>
      <x:c r="L532" s="9" t="str">
        <x:v>No</x:v>
      </x:c>
      <x:c r="M532" s="9" t="str">
        <x:v>Puzzle adventure</x:v>
      </x:c>
      <x:c r="N532" s="9" t="str">
        <x:v>Live-action + pre-rendered CG</x:v>
      </x:c>
      <x:c r="O532" s="9" t="n">
        <x:v>6</x:v>
      </x:c>
      <x:c r="P532" s="9" t="str">
        <x:v>FMV adventure</x:v>
      </x:c>
      <x:c r="Q532" s="9" t="str">
        <x:v>Released</x:v>
      </x:c>
      <x:c r="R532" s="9" t="str">
        <x:v>PC original; sequel to The 7th Guest</x:v>
      </x:c>
      <x:c r="S532" s="9" t="str">
        <x:v>Mac</x:v>
      </x:c>
      <x:c r="T532" s="9" t="str">
        <x:v>Robert Hirschboeck (Stauf); Carl Denning lead — verify actor names</x:v>
      </x:c>
      <x:c r="U532" s="9" t="n">
        <x:v>4</x:v>
      </x:c>
      <x:c r="V532" s="9" t="str">
        <x:v>Yes</x:v>
      </x:c>
      <x:c r="W532" s="9" t="str">
        <x:v>486/33, 8 MB RAM, 2x CD-ROM, SVGA; DOS &amp; Win 3.1</x:v>
      </x:c>
      <x:c r="X532" s="9" t="str">
        <x:v>Low–Med</x:v>
      </x:c>
      <x:c r="Y532" s="9" t="str">
        <x:v>Licensed-sounding score is original (The Fat Man); low risk — verify</x:v>
      </x:c>
      <x:c r="Z532" s="9" t="str">
        <x:v>6–10 hr</x:v>
      </x:c>
      <x:c r="AA532" s="9" t="str">
        <x:v>The 7th Guest's sequel swaps cheap ghosts for a full live-action TV-movie plot about a reporter hunting a missing producer.</x:v>
      </x:c>
      <x:c r="AB532" s="9" t="str">
        <x:v>None known</x:v>
      </x:c>
      <x:c r="AC532" s="9" t="str">
        <x:v>SVGA pre-rendered rooms; live-action clips on a handheld GameBook screen — verify res/fps</x:v>
      </x:c>
      <x:c r="AD532" s="9" t="str">
        <x:v>Hard puzzles plus cryptic scavenger-hunt riddles</x:v>
      </x:c>
      <x:c r="AE532" s="9" t="str">
        <x:v>Three endings chosen by the player at the finale</x:v>
      </x:c>
      <x:c r="AF532" s="9" t="str">
        <x:v>Delayed for over a year; it was among the first games to use full-screen live-action video in SVGA on PC.</x:v>
      </x:c>
      <x:c r="AG532" s="9" t="str">
        <x:v>Big box (4 CDs); jewel-case reissues; 'Making of' disc bundled</x:v>
      </x:c>
      <x:c r="AH532" s="9" t="str">
        <x:v>Yes (GOG, Steam)</x:v>
      </x:c>
      <x:c r="AI532" s="9" t="str">
        <x:v>Easy</x:v>
      </x:c>
      <x:c r="AJ532" s="9" t="str">
        <x:v>GOG/Steam; original discs in ScummVM</x:v>
      </x:c>
      <x:c r="AK532" s="9" t="str">
        <x:v>MobyGames scores not captured: search results returned no snippets and MobyGames blocks fetches (verify).</x:v>
      </x:c>
      <x:c r="AL532" s="10" t="n">
        <x:v>5.9</x:v>
      </x:c>
      <x:c r="AM532" s="10" t="n">
        <x:v>14.99</x:v>
      </x:c>
      <x:c r="AN532" s="10" t="n">
        <x:v>20.67</x:v>
      </x:c>
      <x:c r="AO532" s="9" t="str">
        <x:v>2026-10-24</x:v>
      </x:c>
      <x:c r="AP532" s="11" t="str">
        <x:f>HYPERLINK("https://www.pricecharting.com/game/pc-games/the-11th-hour","PriceCharting")</x:f>
        <x:v>PriceCharting</x:v>
      </x:c>
      <x:c r="AQ532" s="9" t="n">
        <x:v>1.19</x:v>
      </x:c>
      <x:c r="AR532" s="11" t="str">
        <x:v>GOG</x:v>
      </x:c>
      <x:c r="AS532" s="9" t="str">
        <x:f>HYPERLINK("https://www.gog.com/en/game/the_11th_hour","Store")</x:f>
        <x:v>Store</x:v>
      </x:c>
      <x:c r="AT532" s="9" t="str">
        <x:v>2026-10-24</x:v>
      </x:c>
      <x:c r="AU532" s="9"/>
      <x:c r="AV532" s="9"/>
      <x:c r="AW532" s="9"/>
      <x:c r="AX532" s="9"/>
      <x:c r="AY532" s="9"/>
      <x:c r="AZ532" s="9"/>
      <x:c r="BA532" s="11" t="str">
        <x:f>HYPERLINK("https://www.mobygames.com/search/?q=The+11th+Hour","MobyGames")</x:f>
        <x:v>MobyGames</x:v>
      </x:c>
      <x:c r="BB532" s="9" t="str">
        <x:v>63%</x:v>
      </x:c>
      <x:c r="BC532" s="9" t="str">
        <x:v>GameRankings, 5 reviews</x:v>
      </x:c>
      <x:c r="BD532" s="9" t="str">
        <x:f>HYPERLINK("https://web.archive.org/web/20191209012643id_/https://www.gamerankings.com/pc/198948-the-11th-hour/","Source")</x:f>
        <x:v>Source</x:v>
      </x:c>
      <x:c r="BE532" s="11" t="str">
        <x:f>HYPERLINK("https://en.wikipedia.org/wiki/The_11th_Hour_(video_game)","Wikipedia")</x:f>
        <x:v>Wikipedia</x:v>
      </x:c>
      <x:c r="BF532" s="11" t="str">
        <x:f>HYPERLINK("https://backloggd.com/search/games/The%2011th%20Hour/","Backloggd")</x:f>
        <x:v>Backloggd</x:v>
      </x:c>
      <x:c r="BG532" s="9"/>
      <x:c r="BH532" s="9"/>
      <x:c r="BI532" s="12" t="str">
        <x:v>No</x:v>
      </x:c>
      <x:c r="BJ532" s="12" t="str"/>
      <x:c r="BK532" s="12" t="str">
        <x:v>No</x:v>
      </x:c>
      <x:c r="BL532" s="12" t="str"/>
      <x:c r="BM532" s="12" t="str"/>
      <x:c r="BN532" s="12" t="str"/>
      <x:c r="BO532" s="12" t="str"/>
      <x:c r="BP532" s="12" t="str"/>
      <x:c r="BQ532" s="12" t="str"/>
    </x:row>
    <x:row r="533">
      <x:c r="A533" s="9" t="str">
        <x:v>pc-3</x:v>
      </x:c>
      <x:c r="B533" s="9" t="str">
        <x:v>clandestiny</x:v>
      </x:c>
      <x:c r="C533" s="9" t="str">
        <x:v>PC</x:v>
      </x:c>
      <x:c r="D533" s="9" t="str">
        <x:v>Clandestiny</x:v>
      </x:c>
      <x:c r="E533" s="9" t="str"/>
      <x:c r="F533" s="9" t="str">
        <x:v>Trilobyte</x:v>
      </x:c>
      <x:c r="G533" s="9" t="str">
        <x:v>Trilobyte</x:v>
      </x:c>
      <x:c r="H533" s="9" t="n">
        <x:v>1996</x:v>
      </x:c>
      <x:c r="I533" s="9" t="str">
        <x:v>Yes</x:v>
      </x:c>
      <x:c r="J533" s="9" t="str">
        <x:v>No</x:v>
      </x:c>
      <x:c r="K533" s="9" t="str">
        <x:v>Yes</x:v>
      </x:c>
      <x:c r="L533" s="9" t="str">
        <x:v>No</x:v>
      </x:c>
      <x:c r="M533" s="9" t="str">
        <x:v>Puzzle adventure</x:v>
      </x:c>
      <x:c r="N533" s="9" t="str">
        <x:v>Animated</x:v>
      </x:c>
      <x:c r="O533" s="9" t="n">
        <x:v>6</x:v>
      </x:c>
      <x:c r="P533" s="9" t="str">
        <x:v>FMV adventure</x:v>
      </x:c>
      <x:c r="Q533" s="9" t="str">
        <x:v>Released</x:v>
      </x:c>
      <x:c r="R533" s="9" t="str">
        <x:v>PC original</x:v>
      </x:c>
      <x:c r="S533" s="9" t="str">
        <x:v>Mac; iOS/Mac App Store (2011)</x:v>
      </x:c>
      <x:c r="T533" s="9" t="str">
        <x:v>—</x:v>
      </x:c>
      <x:c r="U533" s="9" t="n">
        <x:v>2</x:v>
      </x:c>
      <x:c r="V533" s="9" t="str">
        <x:v>Yes</x:v>
      </x:c>
      <x:c r="W533" s="9" t="str">
        <x:v>Pentium, 8 MB RAM, 2x CD-ROM, SVGA; Win 95</x:v>
      </x:c>
      <x:c r="X533" s="9" t="str">
        <x:v>Low</x:v>
      </x:c>
      <x:c r="Y533" s="9" t="str"/>
      <x:c r="Z533" s="9" t="str">
        <x:v>4–6 hr</x:v>
      </x:c>
      <x:c r="AA533" s="9" t="str">
        <x:v>Trilobyte's cartoon-animated haunted Scottish castle, a family-friendly spin on The 7th Guest formula.</x:v>
      </x:c>
      <x:c r="AB533" s="9" t="str">
        <x:v>None known</x:v>
      </x:c>
      <x:c r="AC533" s="9" t="str">
        <x:v>Full-screen animated cutscenes over pre-rendered castle — verify res/fps</x:v>
      </x:c>
      <x:c r="AD533" s="9" t="str">
        <x:v>Moderate puzzles</x:v>
      </x:c>
      <x:c r="AE533" s="9" t="str">
        <x:v>One ending — verify</x:v>
      </x:c>
      <x:c r="AF533" s="9" t="str">
        <x:v>Trilobyte's last big-box adventure before the studio collapsed; sales were poor.</x:v>
      </x:c>
      <x:c r="AG533" s="9" t="str">
        <x:v>Big box; later 2011 digital port</x:v>
      </x:c>
      <x:c r="AH533" s="9" t="str">
        <x:v>Yes (Mac App Store / iOS 2011 — verify current availability)</x:v>
      </x:c>
      <x:c r="AI533" s="9" t="str">
        <x:v>Easy</x:v>
      </x:c>
      <x:c r="AJ533" s="9" t="str">
        <x:v>ScummVM (Groovie engine) with original discs — verify support</x:v>
      </x:c>
      <x:c r="AK533" s="9" t="str">
        <x:v>Disc count verify. MobyGames scores not captured: search results returned no snippets and MobyGames blocks fetches (verify).</x:v>
      </x:c>
      <x:c r="AL533" s="10" t="n">
        <x:v>7.47</x:v>
      </x:c>
      <x:c r="AM533" s="10" t="n">
        <x:v>26.32</x:v>
      </x:c>
      <x:c r="AN533" s="10" t="n">
        <x:v>31.07</x:v>
      </x:c>
      <x:c r="AO533" s="9" t="str">
        <x:v>2026-10-24</x:v>
      </x:c>
      <x:c r="AP533" s="11" t="str">
        <x:f>HYPERLINK("https://www.pricecharting.com/game/pc-games/clandestiny","PriceCharting")</x:f>
        <x:v>PriceCharting</x:v>
      </x:c>
      <x:c r="AQ533" s="9"/>
      <x:c r="AR533" s="9"/>
      <x:c r="AS533" s="9"/>
      <x:c r="AT533" s="9"/>
      <x:c r="AU533" s="9"/>
      <x:c r="AV533" s="9"/>
      <x:c r="AW533" s="9"/>
      <x:c r="AX533" s="9"/>
      <x:c r="AY533" s="9" t="str">
        <x:v>60%</x:v>
      </x:c>
      <x:c r="AZ533" s="9" t="str">
        <x:v>3.1</x:v>
      </x:c>
      <x:c r="BA533" s="11" t="str">
        <x:f>HYPERLINK("https://www.mobygames.com/game/windows/clandestiny","MobyGames")</x:f>
        <x:v>MobyGames</x:v>
      </x:c>
      <x:c r="BB533" s="9"/>
      <x:c r="BC533" s="9"/>
      <x:c r="BD533" s="9"/>
      <x:c r="BE533" s="11" t="str">
        <x:f>HYPERLINK("https://en.wikipedia.org/wiki/Clandestiny","Wikipedia")</x:f>
        <x:v>Wikipedia</x:v>
      </x:c>
      <x:c r="BF533" s="11" t="str">
        <x:f>HYPERLINK("https://backloggd.com/search/games/Clandestiny/","Backloggd")</x:f>
        <x:v>Backloggd</x:v>
      </x:c>
      <x:c r="BG533" s="9"/>
      <x:c r="BH533" s="9"/>
      <x:c r="BI533" s="12" t="str">
        <x:v>No</x:v>
      </x:c>
      <x:c r="BJ533" s="12" t="str"/>
      <x:c r="BK533" s="12" t="str">
        <x:v>No</x:v>
      </x:c>
      <x:c r="BL533" s="12" t="str"/>
      <x:c r="BM533" s="12" t="str"/>
      <x:c r="BN533" s="12" t="str"/>
      <x:c r="BO533" s="12" t="str"/>
      <x:c r="BP533" s="12" t="str"/>
      <x:c r="BQ533" s="12" t="str"/>
    </x:row>
    <x:row r="534">
      <x:c r="A534" s="9" t="str">
        <x:v>pc-4</x:v>
      </x:c>
      <x:c r="B534" s="9" t="str">
        <x:v>phantasmagoria</x:v>
      </x:c>
      <x:c r="C534" s="9" t="str">
        <x:v>PC</x:v>
      </x:c>
      <x:c r="D534" s="9" t="str">
        <x:v>Phantasmagoria</x:v>
      </x:c>
      <x:c r="E534" s="9" t="str">
        <x:v>Roberta Williams' Phantasmagoria</x:v>
      </x:c>
      <x:c r="F534" s="9" t="str">
        <x:v>Sierra On-Line</x:v>
      </x:c>
      <x:c r="G534" s="9" t="str">
        <x:v>Sierra On-Line</x:v>
      </x:c>
      <x:c r="H534" s="9" t="n">
        <x:v>1995</x:v>
      </x:c>
      <x:c r="I534" s="9" t="str">
        <x:v>Yes</x:v>
      </x:c>
      <x:c r="J534" s="9" t="str">
        <x:v>No</x:v>
      </x:c>
      <x:c r="K534" s="9" t="str">
        <x:v>Yes</x:v>
      </x:c>
      <x:c r="L534" s="9" t="str">
        <x:v>No</x:v>
      </x:c>
      <x:c r="M534" s="9" t="str">
        <x:v>Horror point-and-click adventure</x:v>
      </x:c>
      <x:c r="N534" s="9" t="str">
        <x:v>Live-action + pre-rendered CG</x:v>
      </x:c>
      <x:c r="O534" s="9" t="n">
        <x:v>8</x:v>
      </x:c>
      <x:c r="P534" s="9" t="str">
        <x:v>Interactive movie</x:v>
      </x:c>
      <x:c r="Q534" s="9" t="str">
        <x:v>Released</x:v>
      </x:c>
      <x:c r="R534" s="9" t="str">
        <x:v>PC original (designed by Roberta Williams)</x:v>
      </x:c>
      <x:c r="S534" s="9" t="str">
        <x:v>Saturn (JP), Mac</x:v>
      </x:c>
      <x:c r="T534" s="9" t="str">
        <x:v>Victoria Morsell (Adrienne Delaney), David Homb (Don Gordon), Robert Miano (Zoltan Carnovasch), V. Joy Lee (Harriet), Steven W. Bailey (Cyrus), Douglas Seale (Malcolm Wyrmshadow)</x:v>
      </x:c>
      <x:c r="U534" s="9" t="n">
        <x:v>7</x:v>
      </x:c>
      <x:c r="V534" s="9" t="str">
        <x:v>Yes</x:v>
      </x:c>
      <x:c r="W534" s="9" t="str">
        <x:v>486/25, 8 MB RAM, 2x CD-ROM, SVGA; DOS, Win 3.1 &amp; Win 95</x:v>
      </x:c>
      <x:c r="X534" s="9" t="str">
        <x:v>Low</x:v>
      </x:c>
      <x:c r="Y534" s="9" t="str"/>
      <x:c r="Z534" s="9" t="str">
        <x:v>6–8 hr</x:v>
      </x:c>
      <x:c r="AA534" s="9" t="str">
        <x:v>Sierra's seven-disc horror movie, infamous for its gore and the scene that got it banned from shelves.</x:v>
      </x:c>
      <x:c r="AB534" s="9" t="str">
        <x:v>Password-protected 'censored' gore filter in options — not a cheat</x:v>
      </x:c>
      <x:c r="AC534" s="9" t="str">
        <x:v>Live-action actors composited over pre-rendered rooms, about 320x200 doubled to 640x400 — verify fps</x:v>
      </x:c>
      <x:c r="AD534" s="9" t="str">
        <x:v>Easy; the hint skull removes most challenge</x:v>
      </x:c>
      <x:c r="AE534" s="9" t="str">
        <x:v>One ending; several death scenes</x:v>
      </x:c>
      <x:c r="AF534" s="9" t="str">
        <x:v>Shot on a bluescreen stage over roughly four months with a cast of 25; it reportedly cost about $4.5 million.</x:v>
      </x:c>
      <x:c r="AG534" s="9" t="str">
        <x:v>Big box 7 CDs; jewel-case reissues; Sierra compilations; Saturn JP 'Phantasm' 8 discs</x:v>
      </x:c>
      <x:c r="AH534" s="9" t="str">
        <x:v>Yes (GOG, Steam)</x:v>
      </x:c>
      <x:c r="AI534" s="9" t="str">
        <x:v>Easy</x:v>
      </x:c>
      <x:c r="AJ534" s="9" t="str">
        <x:v>GOG/Steam; original discs in ScummVM</x:v>
      </x:c>
      <x:c r="AK534" s="9" t="str">
        <x:v>MobyGames scores not captured: search results returned no snippets and MobyGames blocks fetches (verify).</x:v>
      </x:c>
      <x:c r="AL534" s="10" t="n">
        <x:v>9.7</x:v>
      </x:c>
      <x:c r="AM534" s="10" t="n">
        <x:v>39.98</x:v>
      </x:c>
      <x:c r="AN534" s="10" t="n">
        <x:v>138.35</x:v>
      </x:c>
      <x:c r="AO534" s="9" t="str">
        <x:v>2026-10-24</x:v>
      </x:c>
      <x:c r="AP534" s="11" t="str">
        <x:f>HYPERLINK("https://www.pricecharting.com/game/pc-games/phantasmagoria","PriceCharting")</x:f>
        <x:v>PriceCharting</x:v>
      </x:c>
      <x:c r="AQ534" s="9" t="n">
        <x:v>9.99</x:v>
      </x:c>
      <x:c r="AR534" s="11" t="str">
        <x:v>Steam</x:v>
      </x:c>
      <x:c r="AS534" s="9" t="str">
        <x:f>HYPERLINK("https://store.steampowered.com/app/501990/","Store")</x:f>
        <x:v>Store</x:v>
      </x:c>
      <x:c r="AT534" s="9" t="str">
        <x:v>2026-10-24</x:v>
      </x:c>
      <x:c r="AU534" s="9"/>
      <x:c r="AV534" s="9"/>
      <x:c r="AW534" s="9"/>
      <x:c r="AX534" s="9"/>
      <x:c r="AY534" s="9"/>
      <x:c r="AZ534" s="9"/>
      <x:c r="BA534" s="11" t="str">
        <x:f>HYPERLINK("https://www.mobygames.com/search/?q=Phantasmagoria","MobyGames")</x:f>
        <x:v>MobyGames</x:v>
      </x:c>
      <x:c r="BB534" s="9" t="str">
        <x:v>59%</x:v>
      </x:c>
      <x:c r="BC534" s="9" t="str">
        <x:v>GameRankings, 6 reviews</x:v>
      </x:c>
      <x:c r="BD534" s="9" t="str">
        <x:f>HYPERLINK("https://web.archive.org/web/20191209011247id_/https://www.gamerankings.com/pc/198285-roberta-williams-phantasmagoria/","Source")</x:f>
        <x:v>Source</x:v>
      </x:c>
      <x:c r="BE534" s="11" t="str">
        <x:f>HYPERLINK("https://en.wikipedia.org/wiki/Phantasmagoria_(video_game)","Wikipedia")</x:f>
        <x:v>Wikipedia</x:v>
      </x:c>
      <x:c r="BF534" s="11" t="str">
        <x:f>HYPERLINK("https://backloggd.com/search/games/Phantasmagoria/","Backloggd")</x:f>
        <x:v>Backloggd</x:v>
      </x:c>
      <x:c r="BG534" s="9"/>
      <x:c r="BH534" s="9"/>
      <x:c r="BI534" s="12" t="str">
        <x:v>No</x:v>
      </x:c>
      <x:c r="BJ534" s="12" t="str"/>
      <x:c r="BK534" s="12" t="str">
        <x:v>No</x:v>
      </x:c>
      <x:c r="BL534" s="12" t="str"/>
      <x:c r="BM534" s="12" t="str"/>
      <x:c r="BN534" s="12" t="str"/>
      <x:c r="BO534" s="12" t="str"/>
      <x:c r="BP534" s="12" t="str"/>
      <x:c r="BQ534" s="12" t="str"/>
    </x:row>
    <x:row r="535">
      <x:c r="A535" s="9" t="str">
        <x:v>pc-5</x:v>
      </x:c>
      <x:c r="B535" s="9" t="str">
        <x:v>phantasmagoria-a-puzzle-of-flesh</x:v>
      </x:c>
      <x:c r="C535" s="9" t="str">
        <x:v>PC</x:v>
      </x:c>
      <x:c r="D535" s="9" t="str">
        <x:v>Phantasmagoria: A Puzzle of Flesh</x:v>
      </x:c>
      <x:c r="E535" s="9" t="str">
        <x:v>Phantasmagoria 2: A Puzzle of Flesh</x:v>
      </x:c>
      <x:c r="F535" s="9" t="str">
        <x:v>Sierra On-Line</x:v>
      </x:c>
      <x:c r="G535" s="9" t="str">
        <x:v>Sierra On-Line</x:v>
      </x:c>
      <x:c r="H535" s="9" t="n">
        <x:v>1996</x:v>
      </x:c>
      <x:c r="I535" s="9" t="str">
        <x:v>Yes</x:v>
      </x:c>
      <x:c r="J535" s="9" t="str">
        <x:v>No</x:v>
      </x:c>
      <x:c r="K535" s="9" t="str">
        <x:v>Yes</x:v>
      </x:c>
      <x:c r="L535" s="9" t="str">
        <x:v>No</x:v>
      </x:c>
      <x:c r="M535" s="9" t="str">
        <x:v>Horror point-and-click adventure</x:v>
      </x:c>
      <x:c r="N535" s="9" t="str">
        <x:v>Live-action</x:v>
      </x:c>
      <x:c r="O535" s="9" t="n">
        <x:v>8</x:v>
      </x:c>
      <x:c r="P535" s="9" t="str">
        <x:v>Interactive movie</x:v>
      </x:c>
      <x:c r="Q535" s="9" t="str">
        <x:v>Released</x:v>
      </x:c>
      <x:c r="R535" s="9" t="str">
        <x:v>PC original (written by Lorelei Shannon); sequel in name only</x:v>
      </x:c>
      <x:c r="S535" s="9" t="str">
        <x:v>None (Wikipedia lists MS-DOS and Windows only)</x:v>
      </x:c>
      <x:c r="T535" s="9" t="str">
        <x:v>Paul Morgan Stetler (Curtis Craig), Monique Parent (Jocilyn Rowan), Paul Mitri (Trevor Barnes), Ragna Sigrun (Therese Banning), Warren Burton (Paul Allen Warner), Michael Taylor Donovan (Tom Ravell), Don Berg (Bob Arnold), Cynthia Steele (Dr. Rikki Harburg), Regina Byrd Smith (Det. Allie Powell), Michael David Simms (Dr. Terrance Marek), V. Joy Lee (the Ratwoman)</x:v>
      </x:c>
      <x:c r="U535" s="9" t="n">
        <x:v>5</x:v>
      </x:c>
      <x:c r="V535" s="9" t="str">
        <x:v>Yes</x:v>
      </x:c>
      <x:c r="W535" s="9" t="str">
        <x:v>486DX2/66, 8 MB RAM, 2x CD-ROM, SVGA; DOS &amp; Win 95</x:v>
      </x:c>
      <x:c r="X535" s="9" t="str">
        <x:v>Low</x:v>
      </x:c>
      <x:c r="Y535" s="9" t="str"/>
      <x:c r="Z535" s="9" t="str">
        <x:v>5–8 hr</x:v>
      </x:c>
      <x:c r="AA535" s="9" t="str">
        <x:v>A corporate-office horror story about an office worker's psychosis, with more sex and gore than the first.</x:v>
      </x:c>
      <x:c r="AB535" s="9" t="str">
        <x:v>None known</x:v>
      </x:c>
      <x:c r="AC535" s="9" t="str">
        <x:v>Live-action on filmed sets and CG backgrounds, 640x480 window — verify fps</x:v>
      </x:c>
      <x:c r="AD535" s="9" t="str">
        <x:v>Easy adventure puzzles; some death scenes</x:v>
      </x:c>
      <x:c r="AE535" s="9" t="str">
        <x:v>One main ending with variations — verify</x:v>
      </x:c>
      <x:c r="AF535" s="9" t="str">
        <x:v>Refused classification or censored in several countries for its sexual and violent content — verify which.</x:v>
      </x:c>
      <x:c r="AG535" s="9" t="str">
        <x:v>Big box 5 CDs; censored/uncensored versions</x:v>
      </x:c>
      <x:c r="AH535" s="9" t="str">
        <x:v>Yes (GOG, Steam)</x:v>
      </x:c>
      <x:c r="AI535" s="9" t="str">
        <x:v>Easy</x:v>
      </x:c>
      <x:c r="AJ535" s="9" t="str">
        <x:v>GOG/Steam; original discs in ScummVM</x:v>
      </x:c>
      <x:c r="AK535" s="9" t="str">
        <x:v>MobyGames scores not captured: search results returned no snippets and MobyGames blocks fetches (verify).</x:v>
      </x:c>
      <x:c r="AL535" s="10" t="n">
        <x:v>10</x:v>
      </x:c>
      <x:c r="AM535" s="10" t="n">
        <x:v>28.28</x:v>
      </x:c>
      <x:c r="AN535" s="10" t="n">
        <x:v>48.75</x:v>
      </x:c>
      <x:c r="AO535" s="9" t="str">
        <x:v>2026-10-24</x:v>
      </x:c>
      <x:c r="AP535" s="11" t="str">
        <x:f>HYPERLINK("https://www.pricecharting.com/game/pc-games/phantasmagoria-2-a-puzzle-of-flesh","PriceCharting")</x:f>
        <x:v>PriceCharting</x:v>
      </x:c>
      <x:c r="AQ535" s="9" t="n">
        <x:v>5.99</x:v>
      </x:c>
      <x:c r="AR535" s="11" t="str">
        <x:v>Steam</x:v>
      </x:c>
      <x:c r="AS535" s="9" t="str">
        <x:f>HYPERLINK("https://store.steampowered.com/app/501970/","Store")</x:f>
        <x:v>Store</x:v>
      </x:c>
      <x:c r="AT535" s="9" t="str">
        <x:v>2026-10-24</x:v>
      </x:c>
      <x:c r="AU535" s="9"/>
      <x:c r="AV535" s="9"/>
      <x:c r="AW535" s="9"/>
      <x:c r="AX535" s="9"/>
      <x:c r="AY535" s="9" t="str">
        <x:v>59%</x:v>
      </x:c>
      <x:c r="AZ535" s="9" t="str">
        <x:v>3.5</x:v>
      </x:c>
      <x:c r="BA535" s="11" t="str">
        <x:f>HYPERLINK("https://www.mobygames.com/game/dos/phantasmagoria-a-puzzle-of-flesh","MobyGames")</x:f>
        <x:v>MobyGames</x:v>
      </x:c>
      <x:c r="BB535" s="9"/>
      <x:c r="BC535" s="9"/>
      <x:c r="BD535" s="9"/>
      <x:c r="BE535" s="11" t="str">
        <x:f>HYPERLINK("https://en.wikipedia.org/wiki/Phantasmagoria:_A_Puzzle_of_Flesh","Wikipedia")</x:f>
        <x:v>Wikipedia</x:v>
      </x:c>
      <x:c r="BF535" s="11" t="str">
        <x:f>HYPERLINK("https://backloggd.com/search/games/Phantasmagoria%3A%20A%20Puzzle%20of%20Flesh/","Backloggd")</x:f>
        <x:v>Backloggd</x:v>
      </x:c>
      <x:c r="BG535" s="9"/>
      <x:c r="BH535" s="9"/>
      <x:c r="BI535" s="12" t="str">
        <x:v>No</x:v>
      </x:c>
      <x:c r="BJ535" s="12" t="str"/>
      <x:c r="BK535" s="12" t="str">
        <x:v>No</x:v>
      </x:c>
      <x:c r="BL535" s="12" t="str"/>
      <x:c r="BM535" s="12" t="str"/>
      <x:c r="BN535" s="12" t="str"/>
      <x:c r="BO535" s="12" t="str"/>
      <x:c r="BP535" s="12" t="str"/>
      <x:c r="BQ535" s="12" t="str"/>
    </x:row>
    <x:row r="536">
      <x:c r="A536" s="9" t="str">
        <x:v>pc-6</x:v>
      </x:c>
      <x:c r="B536" s="9" t="str">
        <x:v>gabriel-knight-2-the-beast-within</x:v>
      </x:c>
      <x:c r="C536" s="9" t="str">
        <x:v>PC</x:v>
      </x:c>
      <x:c r="D536" s="9" t="str">
        <x:v>The Beast Within: A Gabriel Knight Mystery</x:v>
      </x:c>
      <x:c r="E536" s="9" t="str">
        <x:v>Gabriel Knight 2: The Beast Within</x:v>
      </x:c>
      <x:c r="F536" s="9" t="str">
        <x:v>Sierra On-Line</x:v>
      </x:c>
      <x:c r="G536" s="9" t="str">
        <x:v>Sierra On-Line</x:v>
      </x:c>
      <x:c r="H536" s="9" t="n">
        <x:v>1995</x:v>
      </x:c>
      <x:c r="I536" s="9" t="str">
        <x:v>Yes</x:v>
      </x:c>
      <x:c r="J536" s="9" t="str">
        <x:v>No</x:v>
      </x:c>
      <x:c r="K536" s="9" t="str">
        <x:v>Yes</x:v>
      </x:c>
      <x:c r="L536" s="9" t="str">
        <x:v>No</x:v>
      </x:c>
      <x:c r="M536" s="9" t="str">
        <x:v>Point-and-click adventure</x:v>
      </x:c>
      <x:c r="N536" s="9" t="str">
        <x:v>Live-action</x:v>
      </x:c>
      <x:c r="O536" s="9" t="n">
        <x:v>8</x:v>
      </x:c>
      <x:c r="P536" s="9" t="str">
        <x:v>Interactive movie</x:v>
      </x:c>
      <x:c r="Q536" s="9" t="str">
        <x:v>Released</x:v>
      </x:c>
      <x:c r="R536" s="9" t="str">
        <x:v>PC original (written by Jane Jensen); sequel to Gabriel Knight: Sins of the Fathers</x:v>
      </x:c>
      <x:c r="S536" s="9" t="str">
        <x:v>Mac</x:v>
      </x:c>
      <x:c r="T536" s="9" t="str">
        <x:v>Dean Erickson (Gabriel Knight), Joanne Takahashi (Grace Nakimura), Andrea Martin (Gerde Hull), Nicholas Worth (Kommissar Leber), Peter J. Lucas, Kay E. Kuter, Wolf Muser and others; Peter J. Lucas as Baron von Glower (role verify)</x:v>
      </x:c>
      <x:c r="U536" s="9" t="n">
        <x:v>6</x:v>
      </x:c>
      <x:c r="V536" s="9" t="str">
        <x:v>Yes</x:v>
      </x:c>
      <x:c r="W536" s="9" t="str">
        <x:v>486/25, 8 MB RAM, 2x CD-ROM, SVGA; DOS &amp; Win 3.1/95</x:v>
      </x:c>
      <x:c r="X536" s="9" t="str">
        <x:v>Low</x:v>
      </x:c>
      <x:c r="Y536" s="9" t="str"/>
      <x:c r="Z536" s="9" t="str">
        <x:v>8–12 hr</x:v>
      </x:c>
      <x:c r="AA536" s="9" t="str">
        <x:v>A werewolf mystery in Bavaria tied to King Ludwig II and a lost Wagner opera, widely called the best FMV adventure ever made.</x:v>
      </x:c>
      <x:c r="AB536" s="9" t="str">
        <x:v>None known</x:v>
      </x:c>
      <x:c r="AC536" s="9" t="str">
        <x:v>Live-action actors over photographed Bavarian backgrounds, 640x480 SVGA — verify fps</x:v>
      </x:c>
      <x:c r="AD536" s="9" t="str">
        <x:v>Moderate adventure puzzles; a few timed sequences</x:v>
      </x:c>
      <x:c r="AE536" s="9" t="str">
        <x:v>One ending</x:v>
      </x:c>
      <x:c r="AF536" s="9" t="str">
        <x:v>Includes a specially composed opera, 'Der Fluch des Engelhart', by Robert Holmes; locations were photographed in Germany.</x:v>
      </x:c>
      <x:c r="AG536" s="9" t="str">
        <x:v>Big box 6 CDs; Gabriel Knight collections</x:v>
      </x:c>
      <x:c r="AH536" s="9" t="str">
        <x:v>Yes (GOG, Steam)</x:v>
      </x:c>
      <x:c r="AI536" s="9" t="str">
        <x:v>Easy</x:v>
      </x:c>
      <x:c r="AJ536" s="9" t="str">
        <x:v>GOG/Steam; original discs in ScummVM</x:v>
      </x:c>
      <x:c r="AK536" s="9" t="str">
        <x:v>List title was 'Gabriel Knight 2: The Beast Within'. PriceCharting slug variants (gabriel-knight-2, the-beast-within-a-gabriel-knight-mystery) not found. MobyGames scores not captured: search results returned no snippets and MobyGames blocks fetches (verify). PriceCharting not fetched: the session's web-fetch budget ran out; re-run price lookup.</x:v>
      </x:c>
      <x:c r="AL536" s="10"/>
      <x:c r="AM536" s="10"/>
      <x:c r="AN536" s="10"/>
      <x:c r="AO536" s="9"/>
      <x:c r="AP536" s="11" t="str">
        <x:f>HYPERLINK("https://www.pricecharting.com/search-products?q=The+Beast+Within%3A+A+Gabriel+Knight+Mystery+pc+games&amp;type=prices","PriceCharting")</x:f>
        <x:v>PriceCharting</x:v>
      </x:c>
      <x:c r="AQ536" s="9" t="n">
        <x:v>5.99</x:v>
      </x:c>
      <x:c r="AR536" s="11" t="str">
        <x:v>Steam</x:v>
      </x:c>
      <x:c r="AS536" s="9" t="str">
        <x:f>HYPERLINK("https://store.steampowered.com/app/496760/","Store")</x:f>
        <x:v>Store</x:v>
      </x:c>
      <x:c r="AT536" s="9" t="str">
        <x:v>2026-10-24</x:v>
      </x:c>
      <x:c r="AU536" s="9"/>
      <x:c r="AV536" s="9"/>
      <x:c r="AW536" s="9"/>
      <x:c r="AX536" s="9"/>
      <x:c r="AY536" s="9"/>
      <x:c r="AZ536" s="9"/>
      <x:c r="BA536" s="11" t="str">
        <x:f>HYPERLINK("https://www.mobygames.com/search/?q=The+Beast+Within%3A+A+Gabriel+Knight+Mystery","MobyGames")</x:f>
        <x:v>MobyGames</x:v>
      </x:c>
      <x:c r="BB536" s="9" t="str">
        <x:v>90%</x:v>
      </x:c>
      <x:c r="BC536" s="9" t="str">
        <x:v>GameRankings, 6 reviews</x:v>
      </x:c>
      <x:c r="BD536" s="9" t="str">
        <x:f>HYPERLINK("https://web.archive.org/web/20191209015036id_/https://www.gamerankings.com/pc/198951-the-beast-within-a-gabriel-knight-mystery/","Source")</x:f>
        <x:v>Source</x:v>
      </x:c>
      <x:c r="BE536" s="11" t="str">
        <x:f>HYPERLINK("https://en.wikipedia.org/wiki/The_Beast_Within:_A_Gabriel_Knight_Mystery","Wikipedia")</x:f>
        <x:v>Wikipedia</x:v>
      </x:c>
      <x:c r="BF536" s="11" t="str">
        <x:f>HYPERLINK("https://backloggd.com/search/games/The%20Beast%20Within%3A%20A%20Gabriel%20Knight%20Mystery/","Backloggd")</x:f>
        <x:v>Backloggd</x:v>
      </x:c>
      <x:c r="BG536" s="9"/>
      <x:c r="BH536" s="9"/>
      <x:c r="BI536" s="12" t="str">
        <x:v>No</x:v>
      </x:c>
      <x:c r="BJ536" s="12" t="str"/>
      <x:c r="BK536" s="12" t="str">
        <x:v>No</x:v>
      </x:c>
      <x:c r="BL536" s="12" t="str"/>
      <x:c r="BM536" s="12" t="str"/>
      <x:c r="BN536" s="12" t="str"/>
      <x:c r="BO536" s="12" t="str"/>
      <x:c r="BP536" s="12" t="str"/>
      <x:c r="BQ536" s="12" t="str"/>
    </x:row>
    <x:row r="537">
      <x:c r="A537" s="9" t="str">
        <x:v>pc-7</x:v>
      </x:c>
      <x:c r="B537" s="9" t="str">
        <x:v>under-a-killing-moon</x:v>
      </x:c>
      <x:c r="C537" s="9" t="str">
        <x:v>PC</x:v>
      </x:c>
      <x:c r="D537" s="9" t="str">
        <x:v>Under a Killing Moon</x:v>
      </x:c>
      <x:c r="E537" s="9" t="str"/>
      <x:c r="F537" s="9" t="str">
        <x:v>Access Software</x:v>
      </x:c>
      <x:c r="G537" s="9" t="str">
        <x:v>Access Software (NA); U.S. Gold (EU)</x:v>
      </x:c>
      <x:c r="H537" s="9" t="n">
        <x:v>1994</x:v>
      </x:c>
      <x:c r="I537" s="9" t="str">
        <x:v>Yes</x:v>
      </x:c>
      <x:c r="J537" s="9" t="str">
        <x:v>No</x:v>
      </x:c>
      <x:c r="K537" s="9" t="str">
        <x:v>Yes</x:v>
      </x:c>
      <x:c r="L537" s="9" t="str">
        <x:v>No</x:v>
      </x:c>
      <x:c r="M537" s="9" t="str">
        <x:v>FMV adventure (first-person 3D exploration)</x:v>
      </x:c>
      <x:c r="N537" s="9" t="str">
        <x:v>Live-action + CG</x:v>
      </x:c>
      <x:c r="O537" s="9" t="n">
        <x:v>7</x:v>
      </x:c>
      <x:c r="P537" s="9" t="str">
        <x:v>FMV adventure</x:v>
      </x:c>
      <x:c r="Q537" s="9" t="str">
        <x:v>Released</x:v>
      </x:c>
      <x:c r="R537" s="9" t="str">
        <x:v>PC original; third Tex Murphy game</x:v>
      </x:c>
      <x:c r="S537" s="9" t="str">
        <x:v>—</x:v>
      </x:c>
      <x:c r="T537" s="9" t="str">
        <x:v>Chris Jones (Tex Murphy), Brian Keith, Margot Kidder, Russell Means, James Earl Jones (narrator)</x:v>
      </x:c>
      <x:c r="U537" s="9" t="n">
        <x:v>4</x:v>
      </x:c>
      <x:c r="V537" s="9" t="str">
        <x:v>Yes</x:v>
      </x:c>
      <x:c r="W537" s="9" t="str">
        <x:v>386/25, 4 MB RAM, 2x CD-ROM, VGA; DOS</x:v>
      </x:c>
      <x:c r="X537" s="9" t="str">
        <x:v>Low</x:v>
      </x:c>
      <x:c r="Y537" s="9" t="str"/>
      <x:c r="Z537" s="9" t="str">
        <x:v>10–15 hr</x:v>
      </x:c>
      <x:c r="AA537" s="9" t="str">
        <x:v>A post-apocalyptic noir detective with a real Hollywood cast, Tex in his trench coat and a full 3D San Francisco.</x:v>
      </x:c>
      <x:c r="AB537" s="9" t="str">
        <x:v>None known</x:v>
      </x:c>
      <x:c r="AC537" s="9" t="str">
        <x:v>Live-action conversation video, 320x200 VGA (SVGA mode option) — verify fps</x:v>
      </x:c>
      <x:c r="AD537" s="9" t="str">
        <x:v>Moderate; two difficulty modes with a hint system</x:v>
      </x:c>
      <x:c r="AE537" s="9" t="str">
        <x:v>One main ending; several game-over deaths</x:v>
      </x:c>
      <x:c r="AF537" s="9" t="str">
        <x:v>Four discs in 1994 was a record for its time; Access built its own 'Virtual World' 3D engine.</x:v>
      </x:c>
      <x:c r="AG537" s="9" t="str">
        <x:v>Big box 4 CDs; jewel-case reissue; Tex Murphy collections</x:v>
      </x:c>
      <x:c r="AH537" s="9" t="str">
        <x:v>Yes (GOG, Steam)</x:v>
      </x:c>
      <x:c r="AI537" s="9" t="str">
        <x:v>Easy</x:v>
      </x:c>
      <x:c r="AJ537" s="9" t="str">
        <x:v>GOG/Steam; original discs in DOSBox</x:v>
      </x:c>
      <x:c r="AK537" s="9" t="str">
        <x:v>MobyGames scores not captured: search results returned no snippets and MobyGames blocks fetches (verify).</x:v>
      </x:c>
      <x:c r="AL537" s="10" t="n">
        <x:v>8.98</x:v>
      </x:c>
      <x:c r="AM537" s="10" t="n">
        <x:v>27.5</x:v>
      </x:c>
      <x:c r="AN537" s="10" t="n">
        <x:v>55.27</x:v>
      </x:c>
      <x:c r="AO537" s="9" t="str">
        <x:v>2026-10-24</x:v>
      </x:c>
      <x:c r="AP537" s="11" t="str">
        <x:f>HYPERLINK("https://www.pricecharting.com/game/pc-games/under-a-killing-moon","PriceCharting")</x:f>
        <x:v>PriceCharting</x:v>
      </x:c>
      <x:c r="AQ537" s="9" t="n">
        <x:v>4.99</x:v>
      </x:c>
      <x:c r="AR537" s="11" t="str">
        <x:v>GOG</x:v>
      </x:c>
      <x:c r="AS537" s="9" t="str">
        <x:f>HYPERLINK("https://www.gog.com/en/game/tex_murphy_under_a_killing_moon","Store")</x:f>
        <x:v>Store</x:v>
      </x:c>
      <x:c r="AT537" s="9" t="str">
        <x:v>2026-10-24</x:v>
      </x:c>
      <x:c r="AU537" s="9"/>
      <x:c r="AV537" s="9"/>
      <x:c r="AW537" s="9"/>
      <x:c r="AX537" s="9"/>
      <x:c r="AY537" s="9"/>
      <x:c r="AZ537" s="9"/>
      <x:c r="BA537" s="11" t="str">
        <x:f>HYPERLINK("https://www.mobygames.com/search/?q=Under+a+Killing+Moon","MobyGames")</x:f>
        <x:v>MobyGames</x:v>
      </x:c>
      <x:c r="BB537" s="9" t="str">
        <x:v>85%</x:v>
      </x:c>
      <x:c r="BC537" s="9" t="str">
        <x:v>GameRankings, 6 reviews</x:v>
      </x:c>
      <x:c r="BD537" s="9" t="str">
        <x:f>HYPERLINK("https://web.archive.org/web/20191209011229id_/https://www.gamerankings.com/pc/199157-under-a-killing-moon/","Source")</x:f>
        <x:v>Source</x:v>
      </x:c>
      <x:c r="BE537" s="11" t="str">
        <x:f>HYPERLINK("https://en.wikipedia.org/wiki/Under_a_Killing_Moon","Wikipedia")</x:f>
        <x:v>Wikipedia</x:v>
      </x:c>
      <x:c r="BF537" s="11" t="str">
        <x:f>HYPERLINK("https://backloggd.com/search/games/Under%20a%20Killing%20Moon/","Backloggd")</x:f>
        <x:v>Backloggd</x:v>
      </x:c>
      <x:c r="BG537" s="9"/>
      <x:c r="BH537" s="9"/>
      <x:c r="BI537" s="12" t="str">
        <x:v>No</x:v>
      </x:c>
      <x:c r="BJ537" s="12" t="str"/>
      <x:c r="BK537" s="12" t="str">
        <x:v>No</x:v>
      </x:c>
      <x:c r="BL537" s="12" t="str"/>
      <x:c r="BM537" s="12" t="str"/>
      <x:c r="BN537" s="12" t="str"/>
      <x:c r="BO537" s="12" t="str"/>
      <x:c r="BP537" s="12" t="str"/>
      <x:c r="BQ537" s="12" t="str"/>
    </x:row>
    <x:row r="538">
      <x:c r="A538" s="9" t="str">
        <x:v>pc-8</x:v>
      </x:c>
      <x:c r="B538" s="9" t="str">
        <x:v>the-pandora-directive</x:v>
      </x:c>
      <x:c r="C538" s="9" t="str">
        <x:v>PC</x:v>
      </x:c>
      <x:c r="D538" s="9" t="str">
        <x:v>The Pandora Directive</x:v>
      </x:c>
      <x:c r="E538" s="9" t="str">
        <x:v>Tex Murphy: The Pandora Directive</x:v>
      </x:c>
      <x:c r="F538" s="9" t="str">
        <x:v>Access Software</x:v>
      </x:c>
      <x:c r="G538" s="9" t="str">
        <x:v>Access Software</x:v>
      </x:c>
      <x:c r="H538" s="9" t="n">
        <x:v>1996</x:v>
      </x:c>
      <x:c r="I538" s="9" t="str">
        <x:v>Yes</x:v>
      </x:c>
      <x:c r="J538" s="9" t="str">
        <x:v>No</x:v>
      </x:c>
      <x:c r="K538" s="9" t="str">
        <x:v>Yes</x:v>
      </x:c>
      <x:c r="L538" s="9" t="str">
        <x:v>No</x:v>
      </x:c>
      <x:c r="M538" s="9" t="str">
        <x:v>FMV adventure (first-person 3D exploration)</x:v>
      </x:c>
      <x:c r="N538" s="9" t="str">
        <x:v>Live-action + CG</x:v>
      </x:c>
      <x:c r="O538" s="9" t="n">
        <x:v>7</x:v>
      </x:c>
      <x:c r="P538" s="9" t="str">
        <x:v>FMV adventure</x:v>
      </x:c>
      <x:c r="Q538" s="9" t="str">
        <x:v>Released</x:v>
      </x:c>
      <x:c r="R538" s="9" t="str">
        <x:v>PC original; fourth Tex Murphy game</x:v>
      </x:c>
      <x:c r="S538" s="9" t="str">
        <x:v>—</x:v>
      </x:c>
      <x:c r="T538" s="9" t="str">
        <x:v>Chris Jones (Tex Murphy), Kevin McCarthy (Gordon Fitzpatrick), John Agar (Thomas Malloy); Barry Corbin, Tanya Roberts (verify)</x:v>
      </x:c>
      <x:c r="U538" s="9" t="n">
        <x:v>6</x:v>
      </x:c>
      <x:c r="V538" s="9" t="str">
        <x:v>Yes</x:v>
      </x:c>
      <x:c r="W538" s="9" t="str">
        <x:v>486DX2/66, 8 MB RAM, 2x CD-ROM, SVGA; DOS &amp; Win 95</x:v>
      </x:c>
      <x:c r="X538" s="9" t="str">
        <x:v>Low</x:v>
      </x:c>
      <x:c r="Y538" s="9" t="str"/>
      <x:c r="Z538" s="9" t="str">
        <x:v>12–20 hr</x:v>
      </x:c>
      <x:c r="AA538" s="9" t="str">
        <x:v>Tex Murphy's Roswell conspiracy with branching paths where Tex can be a saint or a jerk, and seven endings.</x:v>
      </x:c>
      <x:c r="AB538" s="9" t="str">
        <x:v>None known</x:v>
      </x:c>
      <x:c r="AC538" s="9" t="str">
        <x:v>Live-action video, 640x480 SVGA; DVD-ROM edition with MPEG-2 video — verify fps</x:v>
      </x:c>
      <x:c r="AD538" s="9" t="str">
        <x:v>Two modes (Entertainment/Game); hard pixel-hunting in Game mode</x:v>
      </x:c>
      <x:c r="AE538" s="9" t="str">
        <x:v>Three narrative paths (Mission Street, Lombard, Boulevard) leading to seven endings</x:v>
      </x:c>
      <x:c r="AF538" s="9" t="str">
        <x:v>Released on a DVD-ROM edition in 1997 with MPEG-2 video, among the first games to use the format.</x:v>
      </x:c>
      <x:c r="AG538" s="9" t="str">
        <x:v>6-CD big box; DVD-ROM edition; Tex Murphy collections</x:v>
      </x:c>
      <x:c r="AH538" s="9" t="str">
        <x:v>Yes (GOG, Steam)</x:v>
      </x:c>
      <x:c r="AI538" s="9" t="str">
        <x:v>Easy</x:v>
      </x:c>
      <x:c r="AJ538" s="9" t="str">
        <x:v>GOG/Steam; original discs in DOSBox</x:v>
      </x:c>
      <x:c r="AK538" s="9" t="str">
        <x:v>MobyGames scores not captured: search results returned no snippets and MobyGames blocks fetches (verify).</x:v>
      </x:c>
      <x:c r="AL538" s="10" t="n">
        <x:v>9.69</x:v>
      </x:c>
      <x:c r="AM538" s="10" t="n">
        <x:v>34.15</x:v>
      </x:c>
      <x:c r="AN538" s="10" t="n">
        <x:v>58.67</x:v>
      </x:c>
      <x:c r="AO538" s="9" t="str">
        <x:v>2026-10-24</x:v>
      </x:c>
      <x:c r="AP538" s="11" t="str">
        <x:f>HYPERLINK("https://www.pricecharting.com/game/pc-games/the-pandora-directive","PriceCharting")</x:f>
        <x:v>PriceCharting</x:v>
      </x:c>
      <x:c r="AQ538" s="9" t="n">
        <x:v>4.99</x:v>
      </x:c>
      <x:c r="AR538" s="11" t="str">
        <x:v>GOG</x:v>
      </x:c>
      <x:c r="AS538" s="9" t="str">
        <x:f>HYPERLINK("https://www.gog.com/en/game/tex_murphy_the_pandora_directive","Store")</x:f>
        <x:v>Store</x:v>
      </x:c>
      <x:c r="AT538" s="9" t="str">
        <x:v>2026-10-24</x:v>
      </x:c>
      <x:c r="AU538" s="9"/>
      <x:c r="AV538" s="9"/>
      <x:c r="AW538" s="9"/>
      <x:c r="AX538" s="9"/>
      <x:c r="AY538" s="9"/>
      <x:c r="AZ538" s="9"/>
      <x:c r="BA538" s="11" t="str">
        <x:f>HYPERLINK("https://www.mobygames.com/search/?q=The+Pandora+Directive","MobyGames")</x:f>
        <x:v>MobyGames</x:v>
      </x:c>
      <x:c r="BB538" s="9" t="str">
        <x:v>81%</x:v>
      </x:c>
      <x:c r="BC538" s="9" t="str">
        <x:v>GameRankings, 8 reviews</x:v>
      </x:c>
      <x:c r="BD538" s="9" t="str">
        <x:f>HYPERLINK("https://web.archive.org/web/20191209012103id_/https://www.gamerankings.com/pc/198979-the-pandora-directive/","Source")</x:f>
        <x:v>Source</x:v>
      </x:c>
      <x:c r="BE538" s="11" t="str">
        <x:f>HYPERLINK("https://en.wikipedia.org/wiki/The_Pandora_Directive","Wikipedia")</x:f>
        <x:v>Wikipedia</x:v>
      </x:c>
      <x:c r="BF538" s="11" t="str">
        <x:f>HYPERLINK("https://backloggd.com/search/games/The%20Pandora%20Directive/","Backloggd")</x:f>
        <x:v>Backloggd</x:v>
      </x:c>
      <x:c r="BG538" s="9"/>
      <x:c r="BH538" s="9"/>
      <x:c r="BI538" s="12" t="str">
        <x:v>No</x:v>
      </x:c>
      <x:c r="BJ538" s="12" t="str"/>
      <x:c r="BK538" s="12" t="str">
        <x:v>No</x:v>
      </x:c>
      <x:c r="BL538" s="12" t="str"/>
      <x:c r="BM538" s="12" t="str"/>
      <x:c r="BN538" s="12" t="str"/>
      <x:c r="BO538" s="12" t="str"/>
      <x:c r="BP538" s="12" t="str"/>
      <x:c r="BQ538" s="12" t="str"/>
    </x:row>
    <x:row r="539">
      <x:c r="A539" s="9" t="str">
        <x:v>pc-9</x:v>
      </x:c>
      <x:c r="B539" s="9" t="str">
        <x:v>tex-murphy-overseer</x:v>
      </x:c>
      <x:c r="C539" s="9" t="str">
        <x:v>PC</x:v>
      </x:c>
      <x:c r="D539" s="9" t="str">
        <x:v>Tex Murphy: Overseer</x:v>
      </x:c>
      <x:c r="E539" s="9" t="str"/>
      <x:c r="F539" s="9" t="str">
        <x:v>Access Software</x:v>
      </x:c>
      <x:c r="G539" s="9" t="str">
        <x:v>Access Software</x:v>
      </x:c>
      <x:c r="H539" s="9" t="n">
        <x:v>1998</x:v>
      </x:c>
      <x:c r="I539" s="9" t="str">
        <x:v>Yes</x:v>
      </x:c>
      <x:c r="J539" s="9" t="str">
        <x:v>No</x:v>
      </x:c>
      <x:c r="K539" s="9" t="str">
        <x:v>Yes</x:v>
      </x:c>
      <x:c r="L539" s="9" t="str">
        <x:v>No</x:v>
      </x:c>
      <x:c r="M539" s="9" t="str">
        <x:v>FMV adventure (first-person 3D exploration)</x:v>
      </x:c>
      <x:c r="N539" s="9" t="str">
        <x:v>Live-action + CG</x:v>
      </x:c>
      <x:c r="O539" s="9" t="n">
        <x:v>7</x:v>
      </x:c>
      <x:c r="P539" s="9" t="str">
        <x:v>FMV adventure</x:v>
      </x:c>
      <x:c r="Q539" s="9" t="str">
        <x:v>Released</x:v>
      </x:c>
      <x:c r="R539" s="9" t="str">
        <x:v>PC original; remake/retelling of Mean Streets</x:v>
      </x:c>
      <x:c r="S539" s="9" t="str">
        <x:v>—</x:v>
      </x:c>
      <x:c r="T539" s="9" t="str">
        <x:v>Chris Jones (Tex Murphy), Michael York, Henry Darrow, Richard Norton, Joe Estevez, Clint Howard; Suzanne Barnes (Chelsee Bando, verify)</x:v>
      </x:c>
      <x:c r="U539" s="9" t="n">
        <x:v>5</x:v>
      </x:c>
      <x:c r="V539" s="9" t="str">
        <x:v>Yes</x:v>
      </x:c>
      <x:c r="W539" s="9" t="str">
        <x:v>Pentium 133, 16 MB RAM, 4x CD-ROM, Direct3D card; Win 95; DVD-ROM edition</x:v>
      </x:c>
      <x:c r="X539" s="9" t="str">
        <x:v>Low</x:v>
      </x:c>
      <x:c r="Y539" s="9" t="str"/>
      <x:c r="Z539" s="9" t="str">
        <x:v>8–12 hr</x:v>
      </x:c>
      <x:c r="AA539" s="9" t="str">
        <x:v>The last 1990s Tex Murphy, a retelling of his first case, ended on a cliffhanger that went unresolved for 16 years.</x:v>
      </x:c>
      <x:c r="AB539" s="9" t="str">
        <x:v>None known</x:v>
      </x:c>
      <x:c r="AC539" s="9" t="str">
        <x:v>Live-action video; DVD-ROM edition with MPEG-2 full-screen video — verify res/fps</x:v>
      </x:c>
      <x:c r="AD539" s="9" t="str">
        <x:v>Moderate; hint system</x:v>
      </x:c>
      <x:c r="AE539" s="9" t="str">
        <x:v>One ending (cliffhanger)</x:v>
      </x:c>
      <x:c r="AF539" s="9" t="str">
        <x:v>One of the first games designed for DVD-ROM; the cliffhanger was only resolved in Tesla Effect (2014).</x:v>
      </x:c>
      <x:c r="AG539" s="9" t="str">
        <x:v>5-CD and DVD-ROM editions</x:v>
      </x:c>
      <x:c r="AH539" s="9" t="str">
        <x:v>Yes (GOG, Steam)</x:v>
      </x:c>
      <x:c r="AI539" s="9" t="str">
        <x:v>Easy</x:v>
      </x:c>
      <x:c r="AJ539" s="9" t="str">
        <x:v>GOG/Steam</x:v>
      </x:c>
      <x:c r="AK539" s="9" t="str">
        <x:v>MobyGames scores not captured: search results returned no snippets and MobyGames blocks fetches (verify).</x:v>
      </x:c>
      <x:c r="AL539" s="10" t="n">
        <x:v>16.2</x:v>
      </x:c>
      <x:c r="AM539" s="10" t="n">
        <x:v>34.66</x:v>
      </x:c>
      <x:c r="AN539" s="10" t="n">
        <x:v>98</x:v>
      </x:c>
      <x:c r="AO539" s="9" t="str">
        <x:v>2026-10-24</x:v>
      </x:c>
      <x:c r="AP539" s="11" t="str">
        <x:f>HYPERLINK("https://www.pricecharting.com/game/pc-games/tex-murphy-overseer","PriceCharting")</x:f>
        <x:v>PriceCharting</x:v>
      </x:c>
      <x:c r="AQ539" s="9" t="n">
        <x:v>1.99</x:v>
      </x:c>
      <x:c r="AR539" s="11" t="str">
        <x:v>GOG</x:v>
      </x:c>
      <x:c r="AS539" s="9" t="str">
        <x:f>HYPERLINK("https://www.gog.com/en/game/tex_murphy_overseer","Store")</x:f>
        <x:v>Store</x:v>
      </x:c>
      <x:c r="AT539" s="9" t="str">
        <x:v>2026-10-24</x:v>
      </x:c>
      <x:c r="AU539" s="9"/>
      <x:c r="AV539" s="9"/>
      <x:c r="AW539" s="9"/>
      <x:c r="AX539" s="9"/>
      <x:c r="AY539" s="9" t="str">
        <x:v>76%</x:v>
      </x:c>
      <x:c r="AZ539" s="9"/>
      <x:c r="BA539" s="11" t="str">
        <x:f>HYPERLINK("https://www.mobygames.com/game/windows/tex-murphy-overseer","MobyGames")</x:f>
        <x:v>MobyGames</x:v>
      </x:c>
      <x:c r="BB539" s="9"/>
      <x:c r="BC539" s="9"/>
      <x:c r="BD539" s="9"/>
      <x:c r="BE539" s="11" t="str">
        <x:f>HYPERLINK("https://en.wikipedia.org/wiki/Tex_Murphy:_Overseer","Wikipedia")</x:f>
        <x:v>Wikipedia</x:v>
      </x:c>
      <x:c r="BF539" s="11" t="str">
        <x:f>HYPERLINK("https://backloggd.com/search/games/Tex%20Murphy%3A%20Overseer/","Backloggd")</x:f>
        <x:v>Backloggd</x:v>
      </x:c>
      <x:c r="BG539" s="9"/>
      <x:c r="BH539" s="9"/>
      <x:c r="BI539" s="12" t="str">
        <x:v>No</x:v>
      </x:c>
      <x:c r="BJ539" s="12" t="str"/>
      <x:c r="BK539" s="12" t="str">
        <x:v>No</x:v>
      </x:c>
      <x:c r="BL539" s="12" t="str"/>
      <x:c r="BM539" s="12" t="str"/>
      <x:c r="BN539" s="12" t="str"/>
      <x:c r="BO539" s="12" t="str"/>
      <x:c r="BP539" s="12" t="str"/>
      <x:c r="BQ539" s="12" t="str"/>
    </x:row>
    <x:row r="540">
      <x:c r="A540" s="9" t="str">
        <x:v>pc-10</x:v>
      </x:c>
      <x:c r="B540" s="9" t="str">
        <x:v>ripper</x:v>
      </x:c>
      <x:c r="C540" s="9" t="str">
        <x:v>PC</x:v>
      </x:c>
      <x:c r="D540" s="9" t="str">
        <x:v>Ripper</x:v>
      </x:c>
      <x:c r="E540" s="9" t="str"/>
      <x:c r="F540" s="9" t="str">
        <x:v>Take-Two Interactive</x:v>
      </x:c>
      <x:c r="G540" s="9" t="str">
        <x:v>Take-Two Interactive (NA); GT Interactive (EU) — verify</x:v>
      </x:c>
      <x:c r="H540" s="9" t="n">
        <x:v>1996</x:v>
      </x:c>
      <x:c r="I540" s="9" t="str">
        <x:v>Yes</x:v>
      </x:c>
      <x:c r="J540" s="9" t="str">
        <x:v>No</x:v>
      </x:c>
      <x:c r="K540" s="9" t="str">
        <x:v>Yes</x:v>
      </x:c>
      <x:c r="L540" s="9" t="str">
        <x:v>No</x:v>
      </x:c>
      <x:c r="M540" s="9" t="str">
        <x:v>FMV adventure</x:v>
      </x:c>
      <x:c r="N540" s="9" t="str">
        <x:v>Live-action + CG</x:v>
      </x:c>
      <x:c r="O540" s="9" t="n">
        <x:v>7</x:v>
      </x:c>
      <x:c r="P540" s="9" t="str">
        <x:v>Interactive movie</x:v>
      </x:c>
      <x:c r="Q540" s="9" t="str">
        <x:v>Released</x:v>
      </x:c>
      <x:c r="R540" s="9" t="str">
        <x:v>PC original</x:v>
      </x:c>
      <x:c r="S540" s="9" t="str">
        <x:v>Mac</x:v>
      </x:c>
      <x:c r="T540" s="9" t="str">
        <x:v>Christopher Walken, Karen Allen, Burgess Meredith, John Rhys-Davies, David Patrick Kelly, Ossie Davis, Paul Giamatti, Jimmie Walker, Tahnee Welch, Scott Cohen (Jake Quinlan)</x:v>
      </x:c>
      <x:c r="U540" s="9" t="n">
        <x:v>6</x:v>
      </x:c>
      <x:c r="V540" s="9" t="str">
        <x:v>Yes</x:v>
      </x:c>
      <x:c r="W540" s="9" t="str">
        <x:v>486DX2/66, 8 MB RAM, 2x CD-ROM, SVGA; DOS &amp; Win 95</x:v>
      </x:c>
      <x:c r="X540" s="9" t="str">
        <x:v>Low–Med</x:v>
      </x:c>
      <x:c r="Y540" s="9" t="str">
        <x:v>Blue Öyster Cult song in the soundtrack — verify</x:v>
      </x:c>
      <x:c r="Z540" s="9" t="str">
        <x:v>10–15 hr</x:v>
      </x:c>
      <x:c r="AA540" s="9" t="str">
        <x:v>A cyberpunk Jack the Ripper copycat hunt in 2040 New York, with Christopher Walken chewing every scene.</x:v>
      </x:c>
      <x:c r="AB540" s="9" t="str">
        <x:v>None known</x:v>
      </x:c>
      <x:c r="AC540" s="9" t="str">
        <x:v>Live-action video in a letterboxed window, 640x480 SVGA — verify fps</x:v>
      </x:c>
      <x:c r="AD540" s="9" t="str">
        <x:v>Hard puzzles; three difficulty levels</x:v>
      </x:c>
      <x:c r="AE540" s="9" t="str">
        <x:v>The killer is one of four suspects, chosen at random each game</x:v>
      </x:c>
      <x:c r="AF540" s="9" t="str">
        <x:v>Blue Öyster Cult contributed music — verify. Walken plays a violent detective, Vince Magnotta.</x:v>
      </x:c>
      <x:c r="AG540" s="9" t="str">
        <x:v>Big box 6 CDs</x:v>
      </x:c>
      <x:c r="AH540" s="9" t="str">
        <x:v>No (no verified official digital re-release; original secondhand discs)</x:v>
      </x:c>
      <x:c r="AI540" s="9" t="str">
        <x:v>Easy</x:v>
      </x:c>
      <x:c r="AJ540" s="9" t="str">
        <x:v>Original discs bought secondhand; use an appropriate period PC/Mac or compatible emulator. No verified Steam/GOG purchase listing.</x:v>
      </x:c>
      <x:c r="AK540" s="9" t="str">
        <x:v>MobyGames scores not captured: search results returned no snippets and MobyGames blocks fetches (verify).</x:v>
      </x:c>
      <x:c r="AL540" s="10" t="n">
        <x:v>10.5</x:v>
      </x:c>
      <x:c r="AM540" s="10" t="n">
        <x:v>48.78</x:v>
      </x:c>
      <x:c r="AN540" s="10" t="n">
        <x:v>67.5</x:v>
      </x:c>
      <x:c r="AO540" s="9" t="str">
        <x:v>2026-10-24</x:v>
      </x:c>
      <x:c r="AP540" s="11" t="str">
        <x:f>HYPERLINK("https://www.pricecharting.com/game/pc-games/ripper","PriceCharting")</x:f>
        <x:v>PriceCharting</x:v>
      </x:c>
      <x:c r="AQ540" s="9"/>
      <x:c r="AR540" s="9"/>
      <x:c r="AS540" s="9"/>
      <x:c r="AT540" s="9"/>
      <x:c r="AU540" s="9"/>
      <x:c r="AV540" s="9"/>
      <x:c r="AW540" s="9"/>
      <x:c r="AX540" s="9"/>
      <x:c r="AY540" s="9"/>
      <x:c r="AZ540" s="9"/>
      <x:c r="BA540" s="11" t="str">
        <x:f>HYPERLINK("https://www.mobygames.com/search/?q=Ripper","MobyGames")</x:f>
        <x:v>MobyGames</x:v>
      </x:c>
      <x:c r="BB540" s="9" t="str">
        <x:v>72%</x:v>
      </x:c>
      <x:c r="BC540" s="9" t="str">
        <x:v>GameRankings, 4 reviews</x:v>
      </x:c>
      <x:c r="BD540" s="9" t="str">
        <x:f>HYPERLINK("https://web.archive.org/web/20191209011837id_/https://www.gamerankings.com/pc/198480-ripper/","Source")</x:f>
        <x:v>Source</x:v>
      </x:c>
      <x:c r="BE540" s="11" t="str">
        <x:f>HYPERLINK("https://en.wikipedia.org/wiki/Ripper_(video_game)","Wikipedia")</x:f>
        <x:v>Wikipedia</x:v>
      </x:c>
      <x:c r="BF540" s="11" t="str">
        <x:f>HYPERLINK("https://backloggd.com/search/games/Ripper/","Backloggd")</x:f>
        <x:v>Backloggd</x:v>
      </x:c>
      <x:c r="BG540" s="9"/>
      <x:c r="BH540" s="9"/>
      <x:c r="BI540" s="12" t="str">
        <x:v>No</x:v>
      </x:c>
      <x:c r="BJ540" s="12" t="str"/>
      <x:c r="BK540" s="12" t="str">
        <x:v>No</x:v>
      </x:c>
      <x:c r="BL540" s="12" t="str"/>
      <x:c r="BM540" s="12" t="str"/>
      <x:c r="BN540" s="12" t="str"/>
      <x:c r="BO540" s="12" t="str"/>
      <x:c r="BP540" s="12" t="str"/>
      <x:c r="BQ540" s="12" t="str"/>
    </x:row>
    <x:row r="541">
      <x:c r="A541" s="9" t="str">
        <x:v>pc-11</x:v>
      </x:c>
      <x:c r="B541" s="9" t="str">
        <x:v>black-dahlia</x:v>
      </x:c>
      <x:c r="C541" s="9" t="str">
        <x:v>PC</x:v>
      </x:c>
      <x:c r="D541" s="9" t="str">
        <x:v>Black Dahlia</x:v>
      </x:c>
      <x:c r="E541" s="9" t="str"/>
      <x:c r="F541" s="9" t="str">
        <x:v>Take-Two Interactive</x:v>
      </x:c>
      <x:c r="G541" s="9" t="str">
        <x:v>Interplay Productions</x:v>
      </x:c>
      <x:c r="H541" s="9" t="n">
        <x:v>1998</x:v>
      </x:c>
      <x:c r="I541" s="9" t="str">
        <x:v>Yes</x:v>
      </x:c>
      <x:c r="J541" s="9" t="str">
        <x:v>No</x:v>
      </x:c>
      <x:c r="K541" s="9" t="str">
        <x:v>Yes</x:v>
      </x:c>
      <x:c r="L541" s="9" t="str">
        <x:v>No</x:v>
      </x:c>
      <x:c r="M541" s="9" t="str">
        <x:v>FMV adventure</x:v>
      </x:c>
      <x:c r="N541" s="9" t="str">
        <x:v>Live-action + CG</x:v>
      </x:c>
      <x:c r="O541" s="9" t="n">
        <x:v>7</x:v>
      </x:c>
      <x:c r="P541" s="9" t="str">
        <x:v>Interactive movie</x:v>
      </x:c>
      <x:c r="Q541" s="9" t="str">
        <x:v>Released</x:v>
      </x:c>
      <x:c r="R541" s="9" t="str">
        <x:v>PC original, inspired by the Black Dahlia murder</x:v>
      </x:c>
      <x:c r="S541" s="9" t="str">
        <x:v>—</x:v>
      </x:c>
      <x:c r="T541" s="9" t="str">
        <x:v>Darren Eliker (Jim Pearson), Dennis Hopper, Teri Garr</x:v>
      </x:c>
      <x:c r="U541" s="9" t="n">
        <x:v>8</x:v>
      </x:c>
      <x:c r="V541" s="9" t="str">
        <x:v>Yes</x:v>
      </x:c>
      <x:c r="W541" s="9" t="str">
        <x:v>Pentium 90, 16 MB RAM, 4x CD-ROM, SVGA; Win 95</x:v>
      </x:c>
      <x:c r="X541" s="9" t="str">
        <x:v>Low</x:v>
      </x:c>
      <x:c r="Y541" s="9" t="str"/>
      <x:c r="Z541" s="9" t="str">
        <x:v>15–25 hr</x:v>
      </x:c>
      <x:c r="AA541" s="9" t="str">
        <x:v>Eight discs of WWII-era occult noir chasing the Cleveland Torso Murders to the Black Dahlia, with Dennis Hopper.</x:v>
      </x:c>
      <x:c r="AB541" s="9" t="str">
        <x:v>None known</x:v>
      </x:c>
      <x:c r="AC541" s="9" t="str">
        <x:v>Live-action cutscenes and conversations; pre-rendered first-person nodes — verify res/fps</x:v>
      </x:c>
      <x:c r="AD541" s="9" t="str">
        <x:v>Very hard, obscure puzzles</x:v>
      </x:c>
      <x:c r="AE541" s="9" t="str">
        <x:v>One ending — verify</x:v>
      </x:c>
      <x:c r="AF541" s="9" t="str">
        <x:v>Eight CDs made it one of the largest disc counts of any PC game.</x:v>
      </x:c>
      <x:c r="AG541" s="9" t="str">
        <x:v>8-CD big box</x:v>
      </x:c>
      <x:c r="AH541" s="9" t="str">
        <x:v>No (no verified official digital re-release; original secondhand discs)</x:v>
      </x:c>
      <x:c r="AI541" s="9" t="str">
        <x:v>Easy</x:v>
      </x:c>
      <x:c r="AJ541" s="9" t="str">
        <x:v>Original discs bought secondhand; use an appropriate period PC/Mac or compatible emulator. No verified Steam/GOG purchase listing.</x:v>
      </x:c>
      <x:c r="AK541" s="9" t="str">
        <x:v>MobyGames scores not captured: search results returned no snippets and MobyGames blocks fetches (verify).</x:v>
      </x:c>
      <x:c r="AL541" s="10" t="n">
        <x:v>12.46</x:v>
      </x:c>
      <x:c r="AM541" s="10" t="n">
        <x:v>18</x:v>
      </x:c>
      <x:c r="AN541" s="10" t="n">
        <x:v>74.85</x:v>
      </x:c>
      <x:c r="AO541" s="9" t="str">
        <x:v>2026-10-24</x:v>
      </x:c>
      <x:c r="AP541" s="11" t="str">
        <x:f>HYPERLINK("https://www.pricecharting.com/game/pc-games/black-dahlia","PriceCharting")</x:f>
        <x:v>PriceCharting</x:v>
      </x:c>
      <x:c r="AQ541" s="9"/>
      <x:c r="AR541" s="9"/>
      <x:c r="AS541" s="9"/>
      <x:c r="AT541" s="9"/>
      <x:c r="AU541" s="9"/>
      <x:c r="AV541" s="9"/>
      <x:c r="AW541" s="9"/>
      <x:c r="AX541" s="9"/>
      <x:c r="AY541" s="9"/>
      <x:c r="AZ541" s="9"/>
      <x:c r="BA541" s="11" t="str">
        <x:f>HYPERLINK("https://www.mobygames.com/search/?q=Black+Dahlia","MobyGames")</x:f>
        <x:v>MobyGames</x:v>
      </x:c>
      <x:c r="BB541" s="9" t="str">
        <x:v>69%</x:v>
      </x:c>
      <x:c r="BC541" s="9" t="str">
        <x:v>average of 10 reviews on Wikipedia (AdvGamers, Allgame, CGSP, CGW, CNG, GSpot, GStar, NGen, PCGUS, PCZone)</x:v>
      </x:c>
      <x:c r="BD541" s="9" t="str">
        <x:f>HYPERLINK("https://en.wikipedia.org/wiki/Black_Dahlia_%28video_game%29","Source")</x:f>
        <x:v>Source</x:v>
      </x:c>
      <x:c r="BE541" s="11" t="str">
        <x:f>HYPERLINK("https://en.wikipedia.org/wiki/Black_Dahlia_(video_game)","Wikipedia")</x:f>
        <x:v>Wikipedia</x:v>
      </x:c>
      <x:c r="BF541" s="11" t="str">
        <x:f>HYPERLINK("https://backloggd.com/search/games/Black%20Dahlia/","Backloggd")</x:f>
        <x:v>Backloggd</x:v>
      </x:c>
      <x:c r="BG541" s="9"/>
      <x:c r="BH541" s="9"/>
      <x:c r="BI541" s="12" t="str">
        <x:v>No</x:v>
      </x:c>
      <x:c r="BJ541" s="12" t="str"/>
      <x:c r="BK541" s="12" t="str">
        <x:v>No</x:v>
      </x:c>
      <x:c r="BL541" s="12" t="str"/>
      <x:c r="BM541" s="12" t="str"/>
      <x:c r="BN541" s="12" t="str"/>
      <x:c r="BO541" s="12" t="str"/>
      <x:c r="BP541" s="12" t="str"/>
      <x:c r="BQ541" s="12" t="str"/>
    </x:row>
    <x:row r="542">
      <x:c r="A542" s="9" t="str">
        <x:v>pc-12</x:v>
      </x:c>
      <x:c r="B542" s="9" t="str">
        <x:v>the-x-files-game</x:v>
      </x:c>
      <x:c r="C542" s="9" t="str">
        <x:v>PC</x:v>
      </x:c>
      <x:c r="D542" s="9" t="str">
        <x:v>The X-Files Game</x:v>
      </x:c>
      <x:c r="E542" s="9" t="str"/>
      <x:c r="F542" s="9" t="str">
        <x:v>HyperBole Studios</x:v>
      </x:c>
      <x:c r="G542" s="9" t="str">
        <x:v>Fox Interactive</x:v>
      </x:c>
      <x:c r="H542" s="9" t="n">
        <x:v>1998</x:v>
      </x:c>
      <x:c r="I542" s="9" t="str">
        <x:v>Yes</x:v>
      </x:c>
      <x:c r="J542" s="9" t="str">
        <x:v>No</x:v>
      </x:c>
      <x:c r="K542" s="9" t="str">
        <x:v>Yes</x:v>
      </x:c>
      <x:c r="L542" s="9" t="str">
        <x:v>No</x:v>
      </x:c>
      <x:c r="M542" s="9" t="str">
        <x:v>FMV point-and-click adventure</x:v>
      </x:c>
      <x:c r="N542" s="9" t="str">
        <x:v>Live-action</x:v>
      </x:c>
      <x:c r="O542" s="9" t="n">
        <x:v>10</x:v>
      </x:c>
      <x:c r="P542" s="9" t="str">
        <x:v>Interactive movie</x:v>
      </x:c>
      <x:c r="Q542" s="9" t="str">
        <x:v>Released</x:v>
      </x:c>
      <x:c r="R542" s="9" t="str">
        <x:v>TV license (The X-Files); PC original</x:v>
      </x:c>
      <x:c r="S542" s="9" t="str">
        <x:v>Mac, PlayStation (2000)</x:v>
      </x:c>
      <x:c r="T542" s="9" t="str">
        <x:v>David Duchovny (Mulder), Gillian Anderson (Scully), Jordan Lee Williams (Agent Craig Willmore), Paige Witte (Mary Astadourian), Mitch Pileggi (Skinner), Steven Williams (X), Dean Haglund, Bruce Harwood, Tom Braidwood (the Lone Gunmen), William B. Davis (the Smoking Man, briefly)</x:v>
      </x:c>
      <x:c r="U542" s="9" t="n">
        <x:v>7</x:v>
      </x:c>
      <x:c r="V542" s="9" t="str">
        <x:v>Yes</x:v>
      </x:c>
      <x:c r="W542" s="9" t="str">
        <x:v>Pentium 90, 16 MB RAM, 4x CD-ROM, SVGA; Win 95; DVD-ROM edition</x:v>
      </x:c>
      <x:c r="X542" s="9" t="str">
        <x:v>HIGH</x:v>
      </x:c>
      <x:c r="Y542" s="9" t="str">
        <x:v>Mark Snow X-Files theme and score; Fox-owned TV likenesses</x:v>
      </x:c>
      <x:c r="Z542" s="9" t="str">
        <x:v>6–10 hr</x:v>
      </x:c>
      <x:c r="AA542" s="9" t="str">
        <x:v>A full official X-Files story with Mulder and Scully, played through Virtual Cinema panoramas and video.</x:v>
      </x:c>
      <x:c r="AB542" s="9" t="str">
        <x:v>None known</x:v>
      </x:c>
      <x:c r="AC542" s="9" t="str">
        <x:v>Full-screen live-action clips with QuickTime-style panoramic navigation; DVD edition higher quality — verify res/fps</x:v>
      </x:c>
      <x:c r="AD542" s="9" t="str">
        <x:v>Moderate; some timed sequences can kill you</x:v>
      </x:c>
      <x:c r="AE542" s="9" t="str">
        <x:v>Multiple outcomes and deaths; one main good ending — verify</x:v>
      </x:c>
      <x:c r="AF542" s="9" t="str">
        <x:v>Filmed in Vancouver alongside the show's production; Duchovny and Anderson shot their scenes in a few days.</x:v>
      </x:c>
      <x:c r="AG542" s="9" t="str">
        <x:v>7-CD Windows/Mac hybrid; DVD-ROM edition</x:v>
      </x:c>
      <x:c r="AH542" s="9" t="str">
        <x:v>No</x:v>
      </x:c>
      <x:c r="AI542" s="9" t="str">
        <x:v>Easy</x:v>
      </x:c>
      <x:c r="AJ542" s="9" t="str">
        <x:v>Original discs; 86Box/PCem or ScummVM — verify engine support</x:v>
      </x:c>
      <x:c r="AK542" s="9" t="str">
        <x:v>MobyGames scores not captured: search results returned no snippets and MobyGames blocks fetches (verify).</x:v>
      </x:c>
      <x:c r="AL542" s="10" t="n">
        <x:v>6.82</x:v>
      </x:c>
      <x:c r="AM542" s="10" t="n">
        <x:v>20.31</x:v>
      </x:c>
      <x:c r="AN542" s="10" t="n">
        <x:v>49.98</x:v>
      </x:c>
      <x:c r="AO542" s="9" t="str">
        <x:v>2026-10-24</x:v>
      </x:c>
      <x:c r="AP542" s="11" t="str">
        <x:f>HYPERLINK("https://www.pricecharting.com/game/pc-games/the-x-files-game","PriceCharting")</x:f>
        <x:v>PriceCharting</x:v>
      </x:c>
      <x:c r="AQ542" s="9"/>
      <x:c r="AR542" s="9"/>
      <x:c r="AS542" s="9"/>
      <x:c r="AT542" s="9"/>
      <x:c r="AU542" s="9"/>
      <x:c r="AV542" s="9"/>
      <x:c r="AW542" s="9"/>
      <x:c r="AX542" s="9"/>
      <x:c r="AY542" s="9" t="str">
        <x:v>70%</x:v>
      </x:c>
      <x:c r="AZ542" s="9" t="str">
        <x:v>3.8</x:v>
      </x:c>
      <x:c r="BA542" s="11" t="str">
        <x:f>HYPERLINK("https://www.mobygames.com/game/windows/x-files-game","MobyGames")</x:f>
        <x:v>MobyGames</x:v>
      </x:c>
      <x:c r="BB542" s="9"/>
      <x:c r="BC542" s="9"/>
      <x:c r="BD542" s="9"/>
      <x:c r="BE542" s="11" t="str">
        <x:f>HYPERLINK("https://en.wikipedia.org/wiki/The_X-Files_Game","Wikipedia")</x:f>
        <x:v>Wikipedia</x:v>
      </x:c>
      <x:c r="BF542" s="11" t="str">
        <x:f>HYPERLINK("https://backloggd.com/search/games/The%20X-Files%20Game/","Backloggd")</x:f>
        <x:v>Backloggd</x:v>
      </x:c>
      <x:c r="BG542" s="9"/>
      <x:c r="BH542" s="9"/>
      <x:c r="BI542" s="12" t="str">
        <x:v>No</x:v>
      </x:c>
      <x:c r="BJ542" s="12" t="str"/>
      <x:c r="BK542" s="12" t="str">
        <x:v>No</x:v>
      </x:c>
      <x:c r="BL542" s="12" t="str"/>
      <x:c r="BM542" s="12" t="str"/>
      <x:c r="BN542" s="12" t="str"/>
      <x:c r="BO542" s="12" t="str"/>
      <x:c r="BP542" s="12" t="str"/>
      <x:c r="BQ542" s="12" t="str"/>
    </x:row>
    <x:row r="543">
      <x:c r="A543" s="9" t="str">
        <x:v>pc-13</x:v>
      </x:c>
      <x:c r="B543" s="9" t="str">
        <x:v>star-trek-klingon</x:v>
      </x:c>
      <x:c r="C543" s="9" t="str">
        <x:v>PC</x:v>
      </x:c>
      <x:c r="D543" s="9" t="str">
        <x:v>Star Trek: Klingon</x:v>
      </x:c>
      <x:c r="E543" s="9" t="str">
        <x:v>Star Trek: Klingon — Interactive Movie</x:v>
      </x:c>
      <x:c r="F543" s="9" t="str">
        <x:v>Simon &amp; Schuster Interactive</x:v>
      </x:c>
      <x:c r="G543" s="9" t="str">
        <x:v>Simon &amp; Schuster Interactive</x:v>
      </x:c>
      <x:c r="H543" s="9" t="n">
        <x:v>1996</x:v>
      </x:c>
      <x:c r="I543" s="9" t="str">
        <x:v>Yes</x:v>
      </x:c>
      <x:c r="J543" s="9" t="str">
        <x:v>No</x:v>
      </x:c>
      <x:c r="K543" s="9" t="str">
        <x:v>Yes</x:v>
      </x:c>
      <x:c r="L543" s="9" t="str">
        <x:v>No</x:v>
      </x:c>
      <x:c r="M543" s="9" t="str">
        <x:v>Interactive movie</x:v>
      </x:c>
      <x:c r="N543" s="9" t="str">
        <x:v>Live-action</x:v>
      </x:c>
      <x:c r="O543" s="9" t="n">
        <x:v>10</x:v>
      </x:c>
      <x:c r="P543" s="9" t="str">
        <x:v>Interactive movie</x:v>
      </x:c>
      <x:c r="Q543" s="9" t="str">
        <x:v>Released</x:v>
      </x:c>
      <x:c r="R543" s="9" t="str">
        <x:v>TV license (Star Trek: The Next Generation)</x:v>
      </x:c>
      <x:c r="S543" s="9" t="str">
        <x:v>Mac</x:v>
      </x:c>
      <x:c r="T543" s="9" t="str">
        <x:v>Robert O'Reilly (Gowron), J. G. Hertzler (Ler'at, voice); directed by Jonathan Frakes</x:v>
      </x:c>
      <x:c r="U543" s="9" t="n">
        <x:v>3</x:v>
      </x:c>
      <x:c r="V543" s="9" t="str">
        <x:v>Yes</x:v>
      </x:c>
      <x:c r="W543" s="9" t="str">
        <x:v>486DX2/66, 8 MB RAM, 2x CD-ROM, SVGA; Win 95 &amp; Mac</x:v>
      </x:c>
      <x:c r="X543" s="9" t="str">
        <x:v>Med–High</x:v>
      </x:c>
      <x:c r="Y543" s="9" t="str">
        <x:v>Paramount Star Trek music cues and likenesses</x:v>
      </x:c>
      <x:c r="Z543" s="9" t="str">
        <x:v>1–2 hr</x:v>
      </x:c>
      <x:c r="AA543" s="9" t="str">
        <x:v>Jonathan Frakes directs a full-screen live-action Klingon revenge story, with a Klingon language lab on disc.</x:v>
      </x:c>
      <x:c r="AB543" s="9" t="str">
        <x:v>None known</x:v>
      </x:c>
      <x:c r="AC543" s="9" t="str">
        <x:v>Full-screen live-action video — verify res/fps</x:v>
      </x:c>
      <x:c r="AD543" s="9" t="str">
        <x:v>Wrong choices restart the scene; easy to brute-force</x:v>
      </x:c>
      <x:c r="AE543" s="9" t="str">
        <x:v>One ending; frequent fail scenes</x:v>
      </x:c>
      <x:c r="AF543" s="9" t="str">
        <x:v>Includes a Klingon language tutorial built with linguist Marc Okrand — verify.</x:v>
      </x:c>
      <x:c r="AG543" s="9" t="str">
        <x:v>Win/Mac hybrid</x:v>
      </x:c>
      <x:c r="AH543" s="9" t="str">
        <x:v>No</x:v>
      </x:c>
      <x:c r="AI543" s="9" t="str">
        <x:v>Easy</x:v>
      </x:c>
      <x:c r="AJ543" s="9" t="str">
        <x:v>86Box/PCem for Windows 95-era titles; original discs</x:v>
      </x:c>
      <x:c r="AK543" s="9" t="str">
        <x:v>Disc count verify. MobyGames scores not captured: search results returned no snippets and MobyGames blocks fetches (verify).</x:v>
      </x:c>
      <x:c r="AL543" s="10" t="n">
        <x:v>4</x:v>
      </x:c>
      <x:c r="AM543" s="10" t="n">
        <x:v>11.96</x:v>
      </x:c>
      <x:c r="AN543" s="10" t="n">
        <x:v>24.99</x:v>
      </x:c>
      <x:c r="AO543" s="9" t="str">
        <x:v>2026-10-24</x:v>
      </x:c>
      <x:c r="AP543" s="11" t="str">
        <x:f>HYPERLINK("https://www.pricecharting.com/game/pc-games/star-trek-klingon","PriceCharting")</x:f>
        <x:v>PriceCharting</x:v>
      </x:c>
      <x:c r="AQ543" s="9"/>
      <x:c r="AR543" s="9"/>
      <x:c r="AS543" s="9"/>
      <x:c r="AT543" s="9"/>
      <x:c r="AU543" s="9"/>
      <x:c r="AV543" s="9"/>
      <x:c r="AW543" s="9"/>
      <x:c r="AX543" s="9"/>
      <x:c r="AY543" s="9" t="str">
        <x:v>57%</x:v>
      </x:c>
      <x:c r="AZ543" s="9" t="str">
        <x:v>3.9</x:v>
      </x:c>
      <x:c r="BA543" s="11" t="str">
        <x:f>HYPERLINK("https://www.mobygames.com/game/windows/star-trek-klingon","MobyGames")</x:f>
        <x:v>MobyGames</x:v>
      </x:c>
      <x:c r="BB543" s="9"/>
      <x:c r="BC543" s="9"/>
      <x:c r="BD543" s="9"/>
      <x:c r="BE543" s="11" t="str">
        <x:f>HYPERLINK("https://en.wikipedia.org/wiki/Star_Trek:_Klingon","Wikipedia")</x:f>
        <x:v>Wikipedia</x:v>
      </x:c>
      <x:c r="BF543" s="11" t="str">
        <x:f>HYPERLINK("https://backloggd.com/search/games/Star%20Trek%3A%20Klingon/","Backloggd")</x:f>
        <x:v>Backloggd</x:v>
      </x:c>
      <x:c r="BG543" s="9"/>
      <x:c r="BH543" s="9"/>
      <x:c r="BI543" s="12" t="str">
        <x:v>No</x:v>
      </x:c>
      <x:c r="BJ543" s="12" t="str"/>
      <x:c r="BK543" s="12" t="str">
        <x:v>No</x:v>
      </x:c>
      <x:c r="BL543" s="12" t="str"/>
      <x:c r="BM543" s="12" t="str"/>
      <x:c r="BN543" s="12" t="str"/>
      <x:c r="BO543" s="12" t="str"/>
      <x:c r="BP543" s="12" t="str"/>
      <x:c r="BQ543" s="12" t="str"/>
    </x:row>
    <x:row r="544">
      <x:c r="A544" s="9" t="str">
        <x:v>pc-14</x:v>
      </x:c>
      <x:c r="B544" s="9" t="str">
        <x:v>star-trek-borg</x:v>
      </x:c>
      <x:c r="C544" s="9" t="str">
        <x:v>PC</x:v>
      </x:c>
      <x:c r="D544" s="9" t="str">
        <x:v>Star Trek: Borg</x:v>
      </x:c>
      <x:c r="E544" s="9" t="str"/>
      <x:c r="F544" s="9" t="str">
        <x:v>Simon &amp; Schuster Interactive</x:v>
      </x:c>
      <x:c r="G544" s="9" t="str">
        <x:v>Simon &amp; Schuster Interactive</x:v>
      </x:c>
      <x:c r="H544" s="9" t="n">
        <x:v>1996</x:v>
      </x:c>
      <x:c r="I544" s="9" t="str">
        <x:v>Yes</x:v>
      </x:c>
      <x:c r="J544" s="9" t="str">
        <x:v>No</x:v>
      </x:c>
      <x:c r="K544" s="9" t="str">
        <x:v>Yes</x:v>
      </x:c>
      <x:c r="L544" s="9" t="str">
        <x:v>No</x:v>
      </x:c>
      <x:c r="M544" s="9" t="str">
        <x:v>Interactive movie</x:v>
      </x:c>
      <x:c r="N544" s="9" t="str">
        <x:v>Live-action</x:v>
      </x:c>
      <x:c r="O544" s="9" t="n">
        <x:v>10</x:v>
      </x:c>
      <x:c r="P544" s="9" t="str">
        <x:v>Interactive movie</x:v>
      </x:c>
      <x:c r="Q544" s="9" t="str">
        <x:v>Released</x:v>
      </x:c>
      <x:c r="R544" s="9" t="str">
        <x:v>TV license (Star Trek: The Next Generation)</x:v>
      </x:c>
      <x:c r="S544" s="9" t="str">
        <x:v>Mac</x:v>
      </x:c>
      <x:c r="T544" s="9" t="str">
        <x:v>John de Lancie (Q), Jeff Allin, John Cothran Jr., Marnie McPhail</x:v>
      </x:c>
      <x:c r="U544" s="9" t="n">
        <x:v>3</x:v>
      </x:c>
      <x:c r="V544" s="9" t="str">
        <x:v>Yes</x:v>
      </x:c>
      <x:c r="W544" s="9" t="str">
        <x:v>486DX2/66, 8 MB RAM, 2x CD-ROM, SVGA; Win 95 &amp; Mac</x:v>
      </x:c>
      <x:c r="X544" s="9" t="str">
        <x:v>Med–High</x:v>
      </x:c>
      <x:c r="Y544" s="9" t="str">
        <x:v>Paramount Star Trek music cues and likenesses</x:v>
      </x:c>
      <x:c r="Z544" s="9" t="str">
        <x:v>1–2 hr</x:v>
      </x:c>
      <x:c r="AA544" s="9" t="str">
        <x:v>Q sends a cadet back in time to the Battle of Wolf 359 in a full-screen live-action Trek movie.</x:v>
      </x:c>
      <x:c r="AB544" s="9" t="str">
        <x:v>None known</x:v>
      </x:c>
      <x:c r="AC544" s="9" t="str">
        <x:v>Full-screen live-action video — verify res/fps</x:v>
      </x:c>
      <x:c r="AD544" s="9" t="str">
        <x:v>Wrong choices loop back with Q mocking you; easy</x:v>
      </x:c>
      <x:c r="AE544" s="9" t="str">
        <x:v>One ending; frequent fail scenes</x:v>
      </x:c>
      <x:c r="AF544" s="9" t="str">
        <x:v>Shot on Paramount Star Trek sets with real Starfleet uniforms and props — verify.</x:v>
      </x:c>
      <x:c r="AG544" s="9" t="str">
        <x:v>Win/Mac hybrid</x:v>
      </x:c>
      <x:c r="AH544" s="9" t="str">
        <x:v>No</x:v>
      </x:c>
      <x:c r="AI544" s="9" t="str">
        <x:v>Easy</x:v>
      </x:c>
      <x:c r="AJ544" s="9" t="str">
        <x:v>86Box/PCem for Windows 95-era titles; original discs</x:v>
      </x:c>
      <x:c r="AK544" s="9" t="str">
        <x:v>Disc count verify. MobyGames scores not captured: search results returned no snippets and MobyGames blocks fetches (verify).</x:v>
      </x:c>
      <x:c r="AL544" s="10" t="n">
        <x:v>6.47</x:v>
      </x:c>
      <x:c r="AM544" s="10" t="n">
        <x:v>17</x:v>
      </x:c>
      <x:c r="AN544" s="10" t="n">
        <x:v>29.31</x:v>
      </x:c>
      <x:c r="AO544" s="9" t="str">
        <x:v>2026-10-24</x:v>
      </x:c>
      <x:c r="AP544" s="11" t="str">
        <x:f>HYPERLINK("https://www.pricecharting.com/game/pc-games/star-trek-borg","PriceCharting")</x:f>
        <x:v>PriceCharting</x:v>
      </x:c>
      <x:c r="AQ544" s="9"/>
      <x:c r="AR544" s="9"/>
      <x:c r="AS544" s="9"/>
      <x:c r="AT544" s="9"/>
      <x:c r="AU544" s="9"/>
      <x:c r="AV544" s="9"/>
      <x:c r="AW544" s="9"/>
      <x:c r="AX544" s="9"/>
      <x:c r="AY544" s="9"/>
      <x:c r="AZ544" s="9"/>
      <x:c r="BA544" s="11" t="str">
        <x:f>HYPERLINK("https://www.mobygames.com/search/?q=Star+Trek%3A+Borg","MobyGames")</x:f>
        <x:v>MobyGames</x:v>
      </x:c>
      <x:c r="BB544" s="9" t="str">
        <x:v>41%</x:v>
      </x:c>
      <x:c r="BC544" s="9" t="str">
        <x:v>GameRankings, 1 review</x:v>
      </x:c>
      <x:c r="BD544" s="9" t="str">
        <x:f>HYPERLINK("https://web.archive.org/web/20191209012747id_/https://www.gamerankings.com/pc/198768-star-trek-borg/","Source")</x:f>
        <x:v>Source</x:v>
      </x:c>
      <x:c r="BE544" s="11" t="str">
        <x:f>HYPERLINK("https://en.wikipedia.org/wiki/Star_Trek:_Borg","Wikipedia")</x:f>
        <x:v>Wikipedia</x:v>
      </x:c>
      <x:c r="BF544" s="11" t="str">
        <x:f>HYPERLINK("https://backloggd.com/search/games/Star%20Trek%3A%20Borg/","Backloggd")</x:f>
        <x:v>Backloggd</x:v>
      </x:c>
      <x:c r="BG544" s="9"/>
      <x:c r="BH544" s="9"/>
      <x:c r="BI544" s="12" t="str">
        <x:v>No</x:v>
      </x:c>
      <x:c r="BJ544" s="12" t="str"/>
      <x:c r="BK544" s="12" t="str">
        <x:v>No</x:v>
      </x:c>
      <x:c r="BL544" s="12" t="str"/>
      <x:c r="BM544" s="12" t="str"/>
      <x:c r="BN544" s="12" t="str"/>
      <x:c r="BO544" s="12" t="str"/>
      <x:c r="BP544" s="12" t="str"/>
      <x:c r="BQ544" s="12" t="str"/>
    </x:row>
    <x:row r="545">
      <x:c r="A545" s="9" t="str">
        <x:v>pc-15</x:v>
      </x:c>
      <x:c r="B545" s="9" t="str">
        <x:v>star-trek-starfleet-academy</x:v>
      </x:c>
      <x:c r="C545" s="9" t="str">
        <x:v>PC</x:v>
      </x:c>
      <x:c r="D545" s="9" t="str">
        <x:v>Star Trek: Starfleet Academy</x:v>
      </x:c>
      <x:c r="E545" s="9" t="str"/>
      <x:c r="F545" s="9" t="str">
        <x:v>Interplay Productions</x:v>
      </x:c>
      <x:c r="G545" s="9" t="str">
        <x:v>Interplay Productions</x:v>
      </x:c>
      <x:c r="H545" s="9" t="n">
        <x:v>1997</x:v>
      </x:c>
      <x:c r="I545" s="9" t="str">
        <x:v>Yes</x:v>
      </x:c>
      <x:c r="J545" s="9" t="str">
        <x:v>No</x:v>
      </x:c>
      <x:c r="K545" s="9" t="str">
        <x:v>Yes</x:v>
      </x:c>
      <x:c r="L545" s="9" t="str">
        <x:v>No</x:v>
      </x:c>
      <x:c r="M545" s="9" t="str">
        <x:v>Space combat simulation</x:v>
      </x:c>
      <x:c r="N545" s="9" t="str">
        <x:v>Live-action</x:v>
      </x:c>
      <x:c r="O545" s="9" t="n">
        <x:v>3</x:v>
      </x:c>
      <x:c r="P545" s="9" t="str">
        <x:v>Cutscenes only</x:v>
      </x:c>
      <x:c r="Q545" s="9" t="str">
        <x:v>Released</x:v>
      </x:c>
      <x:c r="R545" s="9" t="str">
        <x:v>Film/TV license (Star Trek)</x:v>
      </x:c>
      <x:c r="S545" s="9" t="str">
        <x:v>Mac</x:v>
      </x:c>
      <x:c r="T545" s="9" t="str">
        <x:v>William Shatner, Walter Koenig, George Takei</x:v>
      </x:c>
      <x:c r="U545" s="9" t="n">
        <x:v>3</x:v>
      </x:c>
      <x:c r="V545" s="9" t="str">
        <x:v>Yes</x:v>
      </x:c>
      <x:c r="W545" s="9" t="str">
        <x:v>Pentium 90, 16 MB RAM, 4x CD-ROM, SVGA; Win 95</x:v>
      </x:c>
      <x:c r="X545" s="9" t="str">
        <x:v>Med–High</x:v>
      </x:c>
      <x:c r="Y545" s="9" t="str">
        <x:v>Star Trek theme and likenesses</x:v>
      </x:c>
      <x:c r="Z545" s="9" t="str">
        <x:v>15–25 hr</x:v>
      </x:c>
      <x:c r="AA545" s="9" t="str">
        <x:v>Kirk, Chekov and Sulu reprise their roles in live-action briefings while you fly cadet missions.</x:v>
      </x:c>
      <x:c r="AB545" s="9" t="str">
        <x:v>None known</x:v>
      </x:c>
      <x:c r="AC545" s="9" t="str">
        <x:v>Live-action cutscenes between missions — verify res/fps</x:v>
      </x:c>
      <x:c r="AD545" s="9" t="str">
        <x:v>Moderate; Kobayashi Maru included</x:v>
      </x:c>
      <x:c r="AE545" s="9" t="str">
        <x:v>One ending — verify</x:v>
      </x:c>
      <x:c r="AF545" s="9" t="str">
        <x:v>Shatner, Koenig and Takei filmed new scenes for the game in 1997.</x:v>
      </x:c>
      <x:c r="AG545" s="9" t="str">
        <x:v>3-CD release; Chekov's Lost Missions add-on — verify</x:v>
      </x:c>
      <x:c r="AH545" s="9" t="str">
        <x:v>Yes (GOG and Steam)</x:v>
      </x:c>
      <x:c r="AI545" s="9" t="str">
        <x:v>Easy</x:v>
      </x:c>
      <x:c r="AJ545" s="9" t="str">
        <x:v>GOG or Steam; original discs in 86Box/PCem</x:v>
      </x:c>
      <x:c r="AK545" s="9" t="str">
        <x:v>Wikipedia URL verify. Disc count verify. MobyGames scores not captured: search results returned no snippets and MobyGames blocks fetches (verify).</x:v>
      </x:c>
      <x:c r="AL545" s="10" t="n">
        <x:v>3.81</x:v>
      </x:c>
      <x:c r="AM545" s="10" t="n">
        <x:v>16.22</x:v>
      </x:c>
      <x:c r="AN545" s="10" t="n">
        <x:v>20</x:v>
      </x:c>
      <x:c r="AO545" s="9" t="str">
        <x:v>2026-10-24</x:v>
      </x:c>
      <x:c r="AP545" s="11" t="str">
        <x:f>HYPERLINK("https://www.pricecharting.com/game/pc-games/star-trek-starfleet-academy","PriceCharting")</x:f>
        <x:v>PriceCharting</x:v>
      </x:c>
      <x:c r="AQ545" s="9" t="n">
        <x:v>19.99</x:v>
      </x:c>
      <x:c r="AR545" s="11" t="str">
        <x:v>Steam</x:v>
      </x:c>
      <x:c r="AS545" s="9" t="str">
        <x:f>HYPERLINK("https://store.steampowered.com/app/364810/","Store")</x:f>
        <x:v>Store</x:v>
      </x:c>
      <x:c r="AT545" s="9" t="str">
        <x:v>2026-10-24</x:v>
      </x:c>
      <x:c r="AU545" s="9"/>
      <x:c r="AV545" s="9"/>
      <x:c r="AW545" s="9"/>
      <x:c r="AX545" s="9"/>
      <x:c r="AY545" s="9" t="str">
        <x:v>76%</x:v>
      </x:c>
      <x:c r="AZ545" s="9" t="str">
        <x:v>3.5</x:v>
      </x:c>
      <x:c r="BA545" s="11" t="str">
        <x:f>HYPERLINK("https://www.mobygames.com/game/windows/star-trek-starfleet-academy","MobyGames")</x:f>
        <x:v>MobyGames</x:v>
      </x:c>
      <x:c r="BB545" s="9"/>
      <x:c r="BC545" s="9"/>
      <x:c r="BD545" s="9"/>
      <x:c r="BE545" s="11" t="str">
        <x:f>HYPERLINK("https://en.wikipedia.org/wiki/Star_Trek:_Starfleet_Academy_(video_game)","Wikipedia")</x:f>
        <x:v>Wikipedia</x:v>
      </x:c>
      <x:c r="BF545" s="11" t="str">
        <x:f>HYPERLINK("https://backloggd.com/search/games/Star%20Trek%3A%20Starfleet%20Academy/","Backloggd")</x:f>
        <x:v>Backloggd</x:v>
      </x:c>
      <x:c r="BG545" s="9"/>
      <x:c r="BH545" s="9"/>
      <x:c r="BI545" s="12" t="str">
        <x:v>No</x:v>
      </x:c>
      <x:c r="BJ545" s="12" t="str"/>
      <x:c r="BK545" s="12" t="str">
        <x:v>No</x:v>
      </x:c>
      <x:c r="BL545" s="12" t="str"/>
      <x:c r="BM545" s="12" t="str"/>
      <x:c r="BN545" s="12" t="str"/>
      <x:c r="BO545" s="12" t="str"/>
      <x:c r="BP545" s="12" t="str"/>
      <x:c r="BQ545" s="12" t="str"/>
    </x:row>
    <x:row r="546">
      <x:c r="A546" s="9" t="str">
        <x:v>pc-16</x:v>
      </x:c>
      <x:c r="B546" s="9" t="str">
        <x:v>star-trek-klingon-academy</x:v>
      </x:c>
      <x:c r="C546" s="9" t="str">
        <x:v>PC</x:v>
      </x:c>
      <x:c r="D546" s="9" t="str">
        <x:v>Star Trek: Klingon Academy</x:v>
      </x:c>
      <x:c r="E546" s="9" t="str"/>
      <x:c r="F546" s="9" t="str">
        <x:v>14 Degrees East (Interplay)</x:v>
      </x:c>
      <x:c r="G546" s="9" t="str">
        <x:v>Interplay Productions</x:v>
      </x:c>
      <x:c r="H546" s="9" t="n">
        <x:v>2000</x:v>
      </x:c>
      <x:c r="I546" s="9" t="str">
        <x:v>Yes</x:v>
      </x:c>
      <x:c r="J546" s="9" t="str">
        <x:v>No</x:v>
      </x:c>
      <x:c r="K546" s="9" t="str">
        <x:v>Yes</x:v>
      </x:c>
      <x:c r="L546" s="9" t="str">
        <x:v>No</x:v>
      </x:c>
      <x:c r="M546" s="9" t="str">
        <x:v>Space combat simulation</x:v>
      </x:c>
      <x:c r="N546" s="9" t="str">
        <x:v>Live-action</x:v>
      </x:c>
      <x:c r="O546" s="9" t="n">
        <x:v>3</x:v>
      </x:c>
      <x:c r="P546" s="9" t="str">
        <x:v>Cutscenes only</x:v>
      </x:c>
      <x:c r="Q546" s="9" t="str">
        <x:v>Released</x:v>
      </x:c>
      <x:c r="R546" s="9" t="str">
        <x:v>Film/TV license (Star Trek)</x:v>
      </x:c>
      <x:c r="S546" s="9" t="str">
        <x:v>—</x:v>
      </x:c>
      <x:c r="T546" s="9" t="str">
        <x:v>Christopher Plummer (General Chang), David Warner (Chancellor Gorkon)</x:v>
      </x:c>
      <x:c r="U546" s="9" t="n">
        <x:v>2</x:v>
      </x:c>
      <x:c r="V546" s="9" t="str">
        <x:v>Yes</x:v>
      </x:c>
      <x:c r="W546" s="9" t="str">
        <x:v>Pentium II 233, 64 MB RAM, CD-ROM, 3D accelerator; Win 95/98</x:v>
      </x:c>
      <x:c r="X546" s="9" t="str">
        <x:v>Med–High</x:v>
      </x:c>
      <x:c r="Y546" s="9" t="str">
        <x:v>Star Trek music and likenesses</x:v>
      </x:c>
      <x:c r="Z546" s="9" t="str">
        <x:v>20–30 hr</x:v>
      </x:c>
      <x:c r="AA546" s="9" t="str">
        <x:v>Christopher Plummer returns as General Chang in live-action briefings for a Klingon flight school.</x:v>
      </x:c>
      <x:c r="AB546" s="9" t="str">
        <x:v>None known</x:v>
      </x:c>
      <x:c r="AC546" s="9" t="str">
        <x:v>Live-action cutscenes — verify res/fps</x:v>
      </x:c>
      <x:c r="AD546" s="9" t="str">
        <x:v>Hard space sim</x:v>
      </x:c>
      <x:c r="AE546" s="9" t="str">
        <x:v>One ending — verify</x:v>
      </x:c>
      <x:c r="AF546" s="9" t="str">
        <x:v>Plummer and Warner reprised their Star Trek VI roles for the cutscenes.</x:v>
      </x:c>
      <x:c r="AG546" s="9" t="str">
        <x:v>2-CD release — verify</x:v>
      </x:c>
      <x:c r="AH546" s="9" t="str">
        <x:v>No</x:v>
      </x:c>
      <x:c r="AI546" s="9" t="str">
        <x:v>Easy</x:v>
      </x:c>
      <x:c r="AJ546" s="9" t="str">
        <x:v>Original discs on Windows XP-era PC or VM</x:v>
      </x:c>
      <x:c r="AK546" s="9" t="str">
        <x:v>Disc count verify. MobyGames scores not captured: search results returned no snippets and MobyGames blocks fetches (verify).</x:v>
      </x:c>
      <x:c r="AL546" s="10" t="n">
        <x:v>17.49</x:v>
      </x:c>
      <x:c r="AM546" s="10" t="n">
        <x:v>67</x:v>
      </x:c>
      <x:c r="AN546" s="10" t="n">
        <x:v>77.78</x:v>
      </x:c>
      <x:c r="AO546" s="9" t="str">
        <x:v>2026-10-24</x:v>
      </x:c>
      <x:c r="AP546" s="11" t="str">
        <x:f>HYPERLINK("https://www.pricecharting.com/game/pc-games/star-trek-klingon-academy","PriceCharting")</x:f>
        <x:v>PriceCharting</x:v>
      </x:c>
      <x:c r="AQ546" s="9"/>
      <x:c r="AR546" s="9"/>
      <x:c r="AS546" s="9"/>
      <x:c r="AT546" s="9"/>
      <x:c r="AU546" s="9"/>
      <x:c r="AV546" s="9"/>
      <x:c r="AW546" s="9"/>
      <x:c r="AX546" s="9"/>
      <x:c r="AY546" s="9" t="str">
        <x:v>73%</x:v>
      </x:c>
      <x:c r="AZ546" s="9" t="str">
        <x:v>3.7</x:v>
      </x:c>
      <x:c r="BA546" s="11" t="str">
        <x:f>HYPERLINK("https://www.mobygames.com/game/windows/star-trek-klingon-academy","MobyGames")</x:f>
        <x:v>MobyGames</x:v>
      </x:c>
      <x:c r="BB546" s="9"/>
      <x:c r="BC546" s="9"/>
      <x:c r="BD546" s="9"/>
      <x:c r="BE546" s="11" t="str">
        <x:f>HYPERLINK("https://en.wikipedia.org/wiki/Star_Trek:_Klingon_Academy","Wikipedia")</x:f>
        <x:v>Wikipedia</x:v>
      </x:c>
      <x:c r="BF546" s="11" t="str">
        <x:f>HYPERLINK("https://backloggd.com/search/games/Star%20Trek%3A%20Klingon%20Academy/","Backloggd")</x:f>
        <x:v>Backloggd</x:v>
      </x:c>
      <x:c r="BG546" s="9"/>
      <x:c r="BH546" s="9"/>
      <x:c r="BI546" s="12" t="str">
        <x:v>No</x:v>
      </x:c>
      <x:c r="BJ546" s="12" t="str"/>
      <x:c r="BK546" s="12" t="str">
        <x:v>No</x:v>
      </x:c>
      <x:c r="BL546" s="12" t="str"/>
      <x:c r="BM546" s="12" t="str"/>
      <x:c r="BN546" s="12" t="str"/>
      <x:c r="BO546" s="12" t="str"/>
      <x:c r="BP546" s="12" t="str"/>
      <x:c r="BQ546" s="12" t="str"/>
    </x:row>
    <x:row r="547">
      <x:c r="A547" s="9" t="str">
        <x:v>pc-17</x:v>
      </x:c>
      <x:c r="B547" s="9" t="str">
        <x:v>wing-commander-iii-heart-of-the-tiger</x:v>
      </x:c>
      <x:c r="C547" s="9" t="str">
        <x:v>PC</x:v>
      </x:c>
      <x:c r="D547" s="9" t="str">
        <x:v>Wing Commander III: Heart of the Tiger</x:v>
      </x:c>
      <x:c r="E547" s="9" t="str"/>
      <x:c r="F547" s="9" t="str">
        <x:v>Origin Systems</x:v>
      </x:c>
      <x:c r="G547" s="9" t="str">
        <x:v>Electronic Arts (Origin)</x:v>
      </x:c>
      <x:c r="H547" s="9" t="n">
        <x:v>1994</x:v>
      </x:c>
      <x:c r="I547" s="9" t="str">
        <x:v>Yes</x:v>
      </x:c>
      <x:c r="J547" s="9" t="str">
        <x:v>No</x:v>
      </x:c>
      <x:c r="K547" s="9" t="str">
        <x:v>Yes</x:v>
      </x:c>
      <x:c r="L547" s="9" t="str">
        <x:v>No</x:v>
      </x:c>
      <x:c r="M547" s="9" t="str">
        <x:v>Space combat sim / interactive movie</x:v>
      </x:c>
      <x:c r="N547" s="9" t="str">
        <x:v>Live-action + CG</x:v>
      </x:c>
      <x:c r="O547" s="9" t="n">
        <x:v>7</x:v>
      </x:c>
      <x:c r="P547" s="9" t="str">
        <x:v>Interactive movie</x:v>
      </x:c>
      <x:c r="Q547" s="9" t="str">
        <x:v>Released</x:v>
      </x:c>
      <x:c r="R547" s="9" t="str">
        <x:v>PC original</x:v>
      </x:c>
      <x:c r="S547" s="9" t="str">
        <x:v>3DO, PlayStation, Mac</x:v>
      </x:c>
      <x:c r="T547" s="9" t="str">
        <x:v>Mark Hamill, Malcolm McDowell, John Rhys-Davies, Tom Wilson, Jason Bernard, Ginger Lynn Allen, Josh Lucas, Courtney Gains, François Chau, Tim Curry (voice)</x:v>
      </x:c>
      <x:c r="U547" s="9" t="n">
        <x:v>4</x:v>
      </x:c>
      <x:c r="V547" s="9" t="str">
        <x:v>Yes</x:v>
      </x:c>
      <x:c r="W547" s="9" t="str">
        <x:v>486DX/33, 8 MB RAM, 2x CD-ROM, VGA/SVGA; DOS</x:v>
      </x:c>
      <x:c r="X547" s="9" t="str">
        <x:v>Low</x:v>
      </x:c>
      <x:c r="Y547" s="9" t="str"/>
      <x:c r="Z547" s="9" t="str">
        <x:v>10–15 hr</x:v>
      </x:c>
      <x:c r="AA547" s="9" t="str">
        <x:v>Luke Skywalker as Colonel Blair, the $4 million FMV space opera that made live-action cutscenes a selling point.</x:v>
      </x:c>
      <x:c r="AB547" s="9" t="str">
        <x:v>Command-line '-chicken' switch enables in-flight cheats (verify keys)</x:v>
      </x:c>
      <x:c r="AC547" s="9" t="str">
        <x:v>Live-action over CG sets, 320x200 interlaced (SVGA flight mode) — verify fps</x:v>
      </x:c>
      <x:c r="AD547" s="9" t="str">
        <x:v>Moderate; adjustable</x:v>
      </x:c>
      <x:c r="AE547" s="9" t="str">
        <x:v>Win and lose branches; romance choice</x:v>
      </x:c>
      <x:c r="AF547" s="9" t="str">
        <x:v>Budget around $4 million; Chris Roberts directed the FMV himself.</x:v>
      </x:c>
      <x:c r="AG547" s="9" t="str">
        <x:v>Big box 4 CDs; Kilrathi Saga; Win 95 reissue</x:v>
      </x:c>
      <x:c r="AH547" s="9" t="str">
        <x:v>Yes (GOG, EA App)</x:v>
      </x:c>
      <x:c r="AI547" s="9" t="str">
        <x:v>Easy</x:v>
      </x:c>
      <x:c r="AJ547" s="9" t="str">
        <x:v>GOG; original discs in DOSBox</x:v>
      </x:c>
      <x:c r="AK547" s="9" t="str">
        <x:v>MobyGames scores not captured: search results returned no snippets and MobyGames blocks fetches (verify).</x:v>
      </x:c>
      <x:c r="AL547" s="10" t="n">
        <x:v>8.16</x:v>
      </x:c>
      <x:c r="AM547" s="10" t="n">
        <x:v>22.5</x:v>
      </x:c>
      <x:c r="AN547" s="10" t="n">
        <x:v>97</x:v>
      </x:c>
      <x:c r="AO547" s="9" t="str">
        <x:v>2026-10-24</x:v>
      </x:c>
      <x:c r="AP547" s="11" t="str">
        <x:f>HYPERLINK("https://www.pricecharting.com/game/pc-games/wing-commander-iii-heart-of-the-tiger","PriceCharting")</x:f>
        <x:v>PriceCharting</x:v>
      </x:c>
      <x:c r="AQ547" s="9" t="n">
        <x:v>5.99</x:v>
      </x:c>
      <x:c r="AR547" s="11" t="str">
        <x:v>GOG</x:v>
      </x:c>
      <x:c r="AS547" s="9" t="str">
        <x:f>HYPERLINK("https://www.gog.com/en/game/wing_commander_3_heart_of_the_tiger","Store")</x:f>
        <x:v>Store</x:v>
      </x:c>
      <x:c r="AT547" s="9" t="str">
        <x:v>2026-10-24</x:v>
      </x:c>
      <x:c r="AU547" s="9"/>
      <x:c r="AV547" s="9"/>
      <x:c r="AW547" s="9"/>
      <x:c r="AX547" s="9"/>
      <x:c r="AY547" s="9"/>
      <x:c r="AZ547" s="9"/>
      <x:c r="BA547" s="11" t="str">
        <x:f>HYPERLINK("https://www.mobygames.com/search/?q=Wing+Commander+III%3A+Heart+of+the+Tiger","MobyGames")</x:f>
        <x:v>MobyGames</x:v>
      </x:c>
      <x:c r="BB547" s="9"/>
      <x:c r="BC547" s="9"/>
      <x:c r="BD547" s="9"/>
      <x:c r="BE547" s="11" t="str">
        <x:f>HYPERLINK("https://en.wikipedia.org/wiki/Wing_Commander_III:_Heart_of_the_Tiger","Wikipedia")</x:f>
        <x:v>Wikipedia</x:v>
      </x:c>
      <x:c r="BF547" s="11" t="str">
        <x:f>HYPERLINK("https://backloggd.com/search/games/Wing%20Commander%20III%3A%20Heart%20of%20the%20Tiger/","Backloggd")</x:f>
        <x:v>Backloggd</x:v>
      </x:c>
      <x:c r="BG547" s="9"/>
      <x:c r="BH547" s="9"/>
      <x:c r="BI547" s="12" t="str">
        <x:v>No</x:v>
      </x:c>
      <x:c r="BJ547" s="12" t="str"/>
      <x:c r="BK547" s="12" t="str">
        <x:v>No</x:v>
      </x:c>
      <x:c r="BL547" s="12" t="str"/>
      <x:c r="BM547" s="12" t="str"/>
      <x:c r="BN547" s="12" t="str"/>
      <x:c r="BO547" s="12" t="str"/>
      <x:c r="BP547" s="12" t="str"/>
      <x:c r="BQ547" s="12" t="str"/>
    </x:row>
    <x:row r="548">
      <x:c r="A548" s="9" t="str">
        <x:v>pc-18</x:v>
      </x:c>
      <x:c r="B548" s="9" t="str">
        <x:v>wing-commander-iv-the-price-of-freedom</x:v>
      </x:c>
      <x:c r="C548" s="9" t="str">
        <x:v>PC</x:v>
      </x:c>
      <x:c r="D548" s="9" t="str">
        <x:v>Wing Commander IV: The Price of Freedom</x:v>
      </x:c>
      <x:c r="E548" s="9" t="str"/>
      <x:c r="F548" s="9" t="str">
        <x:v>Origin Systems</x:v>
      </x:c>
      <x:c r="G548" s="9" t="str">
        <x:v>Electronic Arts (Origin)</x:v>
      </x:c>
      <x:c r="H548" s="9" t="n">
        <x:v>1996</x:v>
      </x:c>
      <x:c r="I548" s="9" t="str">
        <x:v>Yes</x:v>
      </x:c>
      <x:c r="J548" s="9" t="str">
        <x:v>No</x:v>
      </x:c>
      <x:c r="K548" s="9" t="str">
        <x:v>Yes</x:v>
      </x:c>
      <x:c r="L548" s="9" t="str">
        <x:v>No</x:v>
      </x:c>
      <x:c r="M548" s="9" t="str">
        <x:v>Space combat sim / interactive movie</x:v>
      </x:c>
      <x:c r="N548" s="9" t="str">
        <x:v>Live-action + CG</x:v>
      </x:c>
      <x:c r="O548" s="9" t="n">
        <x:v>7</x:v>
      </x:c>
      <x:c r="P548" s="9" t="str">
        <x:v>Interactive movie</x:v>
      </x:c>
      <x:c r="Q548" s="9" t="str">
        <x:v>Released</x:v>
      </x:c>
      <x:c r="R548" s="9" t="str">
        <x:v>PC original</x:v>
      </x:c>
      <x:c r="S548" s="9" t="str">
        <x:v>PlayStation, Mac</x:v>
      </x:c>
      <x:c r="T548" s="9" t="str">
        <x:v>Mark Hamill, Malcolm McDowell, Tom Wilson, Jason Bernard, Robert Rusler, Elizabeth Barondes, Chris Mulkey</x:v>
      </x:c>
      <x:c r="U548" s="9" t="n">
        <x:v>6</x:v>
      </x:c>
      <x:c r="V548" s="9" t="str">
        <x:v>Yes</x:v>
      </x:c>
      <x:c r="W548" s="9" t="str">
        <x:v>486DX2/66, 8 MB RAM, 2x CD-ROM, SVGA; DOS &amp; Win 95; DVD-ROM edition</x:v>
      </x:c>
      <x:c r="X548" s="9" t="str">
        <x:v>Low</x:v>
      </x:c>
      <x:c r="Y548" s="9" t="str"/>
      <x:c r="Z548" s="9" t="str">
        <x:v>10–15 hr</x:v>
      </x:c>
      <x:c r="AA548" s="9" t="str">
        <x:v>A $12 million sequel shot on real sets, with Blair forced to pick between the Confederation and the Border Worlds.</x:v>
      </x:c>
      <x:c r="AB548" s="9" t="str">
        <x:v>Command-line '-chicken' switch enables in-flight cheats (verify)</x:v>
      </x:c>
      <x:c r="AC548" s="9" t="str">
        <x:v>Live-action, 640x480 interlaced; DVD-ROM edition with MPEG-2 — verify fps</x:v>
      </x:c>
      <x:c r="AD548" s="9" t="str">
        <x:v>Moderate; adjustable</x:v>
      </x:c>
      <x:c r="AE548" s="9" t="str">
        <x:v>Branching choices; good and bad endings</x:v>
      </x:c>
      <x:c r="AF548" s="9" t="str">
        <x:v>Budget around $12 million, shot on real sets rather than bluescreen unlike WC3.</x:v>
      </x:c>
      <x:c r="AG548" s="9" t="str">
        <x:v>6-CD big box; DVD-ROM edition (1998); Win 95 version</x:v>
      </x:c>
      <x:c r="AH548" s="9" t="str">
        <x:v>Yes (GOG, EA App)</x:v>
      </x:c>
      <x:c r="AI548" s="9" t="str">
        <x:v>Easy</x:v>
      </x:c>
      <x:c r="AJ548" s="9" t="str">
        <x:v>GOG; original discs in DOSBox</x:v>
      </x:c>
      <x:c r="AK548" s="9" t="str">
        <x:v>MobyGames scores not captured: search results returned no snippets and MobyGames blocks fetches (verify).</x:v>
      </x:c>
      <x:c r="AL548" s="10" t="n">
        <x:v>11</x:v>
      </x:c>
      <x:c r="AM548" s="10" t="n">
        <x:v>19.06</x:v>
      </x:c>
      <x:c r="AN548" s="10" t="n">
        <x:v>39.4</x:v>
      </x:c>
      <x:c r="AO548" s="9" t="str">
        <x:v>2026-10-24</x:v>
      </x:c>
      <x:c r="AP548" s="11" t="str">
        <x:f>HYPERLINK("https://www.pricecharting.com/game/pc-games/wing-commander-iv-the-price-of-freedom","PriceCharting")</x:f>
        <x:v>PriceCharting</x:v>
      </x:c>
      <x:c r="AQ548" s="9" t="n">
        <x:v>5.99</x:v>
      </x:c>
      <x:c r="AR548" s="11" t="str">
        <x:v>GOG</x:v>
      </x:c>
      <x:c r="AS548" s="9" t="str">
        <x:f>HYPERLINK("https://www.gog.com/en/game/wing_commander_4_the_price_of_freedom","Store")</x:f>
        <x:v>Store</x:v>
      </x:c>
      <x:c r="AT548" s="9" t="str">
        <x:v>2026-10-24</x:v>
      </x:c>
      <x:c r="AU548" s="9"/>
      <x:c r="AV548" s="9"/>
      <x:c r="AW548" s="9"/>
      <x:c r="AX548" s="9"/>
      <x:c r="AY548" s="9"/>
      <x:c r="AZ548" s="9"/>
      <x:c r="BA548" s="11" t="str">
        <x:f>HYPERLINK("https://www.mobygames.com/search/?q=Wing+Commander+IV%3A+The+Price+of+Freedom","MobyGames")</x:f>
        <x:v>MobyGames</x:v>
      </x:c>
      <x:c r="BB548" s="9" t="str">
        <x:v>84%</x:v>
      </x:c>
      <x:c r="BC548" s="9" t="str">
        <x:v>GameRankings, 4 reviews</x:v>
      </x:c>
      <x:c r="BD548" s="9" t="str">
        <x:f>HYPERLINK("https://web.archive.org/web/20191209011241id_/https://www.gamerankings.com/pc/199309-wing-commander-iv-the-price-of-freedom/","Source")</x:f>
        <x:v>Source</x:v>
      </x:c>
      <x:c r="BE548" s="11" t="str">
        <x:f>HYPERLINK("https://en.wikipedia.org/wiki/Wing_Commander_IV:_The_Price_of_Freedom","Wikipedia")</x:f>
        <x:v>Wikipedia</x:v>
      </x:c>
      <x:c r="BF548" s="11" t="str">
        <x:f>HYPERLINK("https://backloggd.com/search/games/Wing%20Commander%20IV%3A%20The%20Price%20of%20Freedom/","Backloggd")</x:f>
        <x:v>Backloggd</x:v>
      </x:c>
      <x:c r="BG548" s="9"/>
      <x:c r="BH548" s="9"/>
      <x:c r="BI548" s="12" t="str">
        <x:v>No</x:v>
      </x:c>
      <x:c r="BJ548" s="12" t="str"/>
      <x:c r="BK548" s="12" t="str">
        <x:v>No</x:v>
      </x:c>
      <x:c r="BL548" s="12" t="str"/>
      <x:c r="BM548" s="12" t="str"/>
      <x:c r="BN548" s="12" t="str"/>
      <x:c r="BO548" s="12" t="str"/>
      <x:c r="BP548" s="12" t="str"/>
      <x:c r="BQ548" s="12" t="str"/>
    </x:row>
    <x:row r="549">
      <x:c r="A549" s="9" t="str">
        <x:v>pc-19</x:v>
      </x:c>
      <x:c r="B549" s="9" t="str">
        <x:v>wing-commander-prophecy</x:v>
      </x:c>
      <x:c r="C549" s="9" t="str">
        <x:v>PC</x:v>
      </x:c>
      <x:c r="D549" s="9" t="str">
        <x:v>Wing Commander: Prophecy</x:v>
      </x:c>
      <x:c r="E549" s="9" t="str"/>
      <x:c r="F549" s="9" t="str">
        <x:v>Origin Systems</x:v>
      </x:c>
      <x:c r="G549" s="9" t="str">
        <x:v>Electronic Arts (Origin)</x:v>
      </x:c>
      <x:c r="H549" s="9" t="n">
        <x:v>1997</x:v>
      </x:c>
      <x:c r="I549" s="9" t="str">
        <x:v>Yes</x:v>
      </x:c>
      <x:c r="J549" s="9" t="str">
        <x:v>No</x:v>
      </x:c>
      <x:c r="K549" s="9" t="str">
        <x:v>Yes</x:v>
      </x:c>
      <x:c r="L549" s="9" t="str">
        <x:v>No</x:v>
      </x:c>
      <x:c r="M549" s="9" t="str">
        <x:v>Space combat sim</x:v>
      </x:c>
      <x:c r="N549" s="9" t="str">
        <x:v>Live-action + CG</x:v>
      </x:c>
      <x:c r="O549" s="9" t="n">
        <x:v>3</x:v>
      </x:c>
      <x:c r="P549" s="9" t="str">
        <x:v>Cutscenes only</x:v>
      </x:c>
      <x:c r="Q549" s="9" t="str">
        <x:v>Released</x:v>
      </x:c>
      <x:c r="R549" s="9" t="str">
        <x:v>PC original</x:v>
      </x:c>
      <x:c r="S549" s="9" t="str">
        <x:v>Game Boy Advance (2003, no FMV)</x:v>
      </x:c>
      <x:c r="T549" s="9" t="str">
        <x:v>Mark Hamill (Blair), Tom Wilson (Maniac), Ginger Lynn Allen (reprising their roles from earlier games)</x:v>
      </x:c>
      <x:c r="U549" s="9" t="n">
        <x:v>3</x:v>
      </x:c>
      <x:c r="V549" s="9" t="str">
        <x:v>Yes</x:v>
      </x:c>
      <x:c r="W549" s="9" t="str">
        <x:v>Pentium 166, 16 MB RAM, 4x CD-ROM, 3D accelerator recommended; Win 95</x:v>
      </x:c>
      <x:c r="X549" s="9" t="str">
        <x:v>Low</x:v>
      </x:c>
      <x:c r="Y549" s="9" t="str"/>
      <x:c r="Z549" s="9" t="str">
        <x:v>10–15 hr</x:v>
      </x:c>
      <x:c r="AA549" s="9" t="str">
        <x:v>The series shifts to a new pilot and a new alien threat, with Hamill and Wilson back in a lighter set of live-action scenes.</x:v>
      </x:c>
      <x:c r="AB549" s="9" t="str">
        <x:v>None known</x:v>
      </x:c>
      <x:c r="AC549" s="9" t="str">
        <x:v>Live-action cutscenes on virtual sets — verify res/fps</x:v>
      </x:c>
      <x:c r="AD549" s="9" t="str">
        <x:v>Moderate</x:v>
      </x:c>
      <x:c r="AE549" s="9" t="str">
        <x:v>One ending — verify</x:v>
      </x:c>
      <x:c r="AF549" s="9" t="str">
        <x:v>The first Wing Commander made without Chris Roberts, who had left Origin to found Digital Anvil.</x:v>
      </x:c>
      <x:c r="AG549" s="9" t="str">
        <x:v>3-CD release; Secret Ops add-on (1998, free download); Gold edition</x:v>
      </x:c>
      <x:c r="AH549" s="9" t="str">
        <x:v>Yes (GOG, EA App)</x:v>
      </x:c>
      <x:c r="AI549" s="9" t="str">
        <x:v>Easy</x:v>
      </x:c>
      <x:c r="AJ549" s="9" t="str">
        <x:v>GOG</x:v>
      </x:c>
      <x:c r="AK549" s="9" t="str">
        <x:v>Disc count verify. MobyGames scores not captured: search results returned no snippets and MobyGames blocks fetches (verify). PriceCharting not fetched: the session's web-fetch budget ran out; re-run price lookup.</x:v>
      </x:c>
      <x:c r="AL549" s="10" t="n">
        <x:v>8</x:v>
      </x:c>
      <x:c r="AM549" s="10" t="n">
        <x:v>15.47</x:v>
      </x:c>
      <x:c r="AN549" s="10" t="n">
        <x:v>52.49</x:v>
      </x:c>
      <x:c r="AO549" s="9" t="str">
        <x:v>2026-10-24</x:v>
      </x:c>
      <x:c r="AP549" s="11" t="str">
        <x:f>HYPERLINK("https://www.pricecharting.com/game/pc-games/wing-commander-prophecy","PriceCharting")</x:f>
        <x:v>PriceCharting</x:v>
      </x:c>
      <x:c r="AQ549" s="9"/>
      <x:c r="AR549" s="9"/>
      <x:c r="AS549" s="9"/>
      <x:c r="AT549" s="9"/>
      <x:c r="AU549" s="9"/>
      <x:c r="AV549" s="9"/>
      <x:c r="AW549" s="9"/>
      <x:c r="AX549" s="9"/>
      <x:c r="AY549" s="9" t="str">
        <x:v>87%</x:v>
      </x:c>
      <x:c r="AZ549" s="9" t="str">
        <x:v>3.9</x:v>
      </x:c>
      <x:c r="BA549" s="11" t="str">
        <x:f>HYPERLINK("https://www.mobygames.com/game/windows/wing-commander-prophecy","MobyGames")</x:f>
        <x:v>MobyGames</x:v>
      </x:c>
      <x:c r="BB549" s="9"/>
      <x:c r="BC549" s="9"/>
      <x:c r="BD549" s="9"/>
      <x:c r="BE549" s="11" t="str">
        <x:f>HYPERLINK("https://en.wikipedia.org/wiki/Wing_Commander:_Prophecy","Wikipedia")</x:f>
        <x:v>Wikipedia</x:v>
      </x:c>
      <x:c r="BF549" s="11" t="str">
        <x:f>HYPERLINK("https://backloggd.com/search/games/Wing%20Commander%3A%20Prophecy/","Backloggd")</x:f>
        <x:v>Backloggd</x:v>
      </x:c>
      <x:c r="BG549" s="9"/>
      <x:c r="BH549" s="9"/>
      <x:c r="BI549" s="12" t="str">
        <x:v>No</x:v>
      </x:c>
      <x:c r="BJ549" s="12" t="str"/>
      <x:c r="BK549" s="12" t="str">
        <x:v>No</x:v>
      </x:c>
      <x:c r="BL549" s="12" t="str"/>
      <x:c r="BM549" s="12" t="str"/>
      <x:c r="BN549" s="12" t="str"/>
      <x:c r="BO549" s="12" t="str"/>
      <x:c r="BP549" s="12" t="str"/>
      <x:c r="BQ549" s="12" t="str"/>
    </x:row>
    <x:row r="550">
      <x:c r="A550" s="9" t="str">
        <x:v>pc-20</x:v>
      </x:c>
      <x:c r="B550" s="9" t="str">
        <x:v>privateer-2-the-darkening</x:v>
      </x:c>
      <x:c r="C550" s="9" t="str">
        <x:v>PC</x:v>
      </x:c>
      <x:c r="D550" s="9" t="str">
        <x:v>Privateer 2: The Darkening</x:v>
      </x:c>
      <x:c r="E550" s="9" t="str"/>
      <x:c r="F550" s="9" t="str">
        <x:v>Origin Systems (Erin Roberts)</x:v>
      </x:c>
      <x:c r="G550" s="9" t="str">
        <x:v>Electronic Arts (Origin)</x:v>
      </x:c>
      <x:c r="H550" s="9" t="n">
        <x:v>1996</x:v>
      </x:c>
      <x:c r="I550" s="9" t="str">
        <x:v>Yes</x:v>
      </x:c>
      <x:c r="J550" s="9" t="str">
        <x:v>No</x:v>
      </x:c>
      <x:c r="K550" s="9" t="str">
        <x:v>Yes</x:v>
      </x:c>
      <x:c r="L550" s="9" t="str">
        <x:v>No</x:v>
      </x:c>
      <x:c r="M550" s="9" t="str">
        <x:v>Space trading / combat sim</x:v>
      </x:c>
      <x:c r="N550" s="9" t="str">
        <x:v>Live-action + CG</x:v>
      </x:c>
      <x:c r="O550" s="9" t="n">
        <x:v>4</x:v>
      </x:c>
      <x:c r="P550" s="9" t="str">
        <x:v>Interactive movie</x:v>
      </x:c>
      <x:c r="Q550" s="9" t="str">
        <x:v>Released</x:v>
      </x:c>
      <x:c r="R550" s="9" t="str">
        <x:v>PC original; Wing Commander spin-off</x:v>
      </x:c>
      <x:c r="S550" s="9" t="str">
        <x:v>—</x:v>
      </x:c>
      <x:c r="T550" s="9" t="str">
        <x:v>Clive Owen (Lev Arris), Christopher Walken, John Hurt, Mathilda May, Brian Blessed, David Warner, Jürgen Prochnow, Amanda Pays</x:v>
      </x:c>
      <x:c r="U550" s="9" t="n">
        <x:v>3</x:v>
      </x:c>
      <x:c r="V550" s="9" t="str">
        <x:v>Yes</x:v>
      </x:c>
      <x:c r="W550" s="9" t="str">
        <x:v>486DX2/66, 8 MB RAM, 2x CD-ROM, SVGA; DOS &amp; Win 95</x:v>
      </x:c>
      <x:c r="X550" s="9" t="str">
        <x:v>Low</x:v>
      </x:c>
      <x:c r="Y550" s="9" t="str"/>
      <x:c r="Z550" s="9" t="str">
        <x:v>15–25 hr</x:v>
      </x:c>
      <x:c r="AA550" s="9" t="str">
        <x:v>Clive Owen's first starring role in an amnesiac space-trader story with Walken and John Hurt.</x:v>
      </x:c>
      <x:c r="AB550" s="9" t="str">
        <x:v>None known</x:v>
      </x:c>
      <x:c r="AC550" s="9" t="str">
        <x:v>Live-action cutscenes and comm videos — verify res/fps</x:v>
      </x:c>
      <x:c r="AD550" s="9" t="str">
        <x:v>Moderate</x:v>
      </x:c>
      <x:c r="AE550" s="9" t="str">
        <x:v>One ending</x:v>
      </x:c>
      <x:c r="AF550" s="9" t="str">
        <x:v>Developed in the UK by Erin Roberts, Chris Roberts' brother; the British cast is unusually starry.</x:v>
      </x:c>
      <x:c r="AG550" s="9" t="str">
        <x:v>3-CD big box</x:v>
      </x:c>
      <x:c r="AH550" s="9" t="str">
        <x:v>Yes (GOG)</x:v>
      </x:c>
      <x:c r="AI550" s="9" t="str">
        <x:v>Easy</x:v>
      </x:c>
      <x:c r="AJ550" s="9" t="str">
        <x:v>GOG; original discs in DOSBox</x:v>
      </x:c>
      <x:c r="AK550" s="9" t="str">
        <x:v>MobyGames scores not captured: search results returned no snippets and MobyGames blocks fetches (verify). PriceCharting not fetched: the session's web-fetch budget ran out; re-run price lookup.</x:v>
      </x:c>
      <x:c r="AL550" s="10" t="n">
        <x:v>7.75</x:v>
      </x:c>
      <x:c r="AM550" s="10" t="n">
        <x:v>14.25</x:v>
      </x:c>
      <x:c r="AN550" s="10" t="n">
        <x:v>35.02</x:v>
      </x:c>
      <x:c r="AO550" s="9" t="str">
        <x:v>2026-10-24</x:v>
      </x:c>
      <x:c r="AP550" s="11" t="str">
        <x:f>HYPERLINK("https://www.pricecharting.com/game/pc-games/privateer-2-the-darkening","PriceCharting")</x:f>
        <x:v>PriceCharting</x:v>
      </x:c>
      <x:c r="AQ550" s="9" t="n">
        <x:v>5.99</x:v>
      </x:c>
      <x:c r="AR550" s="11" t="str">
        <x:v>GOG</x:v>
      </x:c>
      <x:c r="AS550" s="9" t="str">
        <x:f>HYPERLINK("https://www.gog.com/en/game/privateer_2_the_darkening","Store")</x:f>
        <x:v>Store</x:v>
      </x:c>
      <x:c r="AT550" s="9" t="str">
        <x:v>2026-10-24</x:v>
      </x:c>
      <x:c r="AU550" s="9"/>
      <x:c r="AV550" s="9"/>
      <x:c r="AW550" s="9"/>
      <x:c r="AX550" s="9"/>
      <x:c r="AY550" s="9" t="str">
        <x:v>81%</x:v>
      </x:c>
      <x:c r="AZ550" s="9" t="str">
        <x:v>3.9</x:v>
      </x:c>
      <x:c r="BA550" s="11" t="str">
        <x:f>HYPERLINK("https://www.mobygames.com/game/dos/privateer-2-the-darkening","MobyGames")</x:f>
        <x:v>MobyGames</x:v>
      </x:c>
      <x:c r="BB550" s="9"/>
      <x:c r="BC550" s="9"/>
      <x:c r="BD550" s="9"/>
      <x:c r="BE550" s="11" t="str">
        <x:f>HYPERLINK("https://en.wikipedia.org/wiki/Privateer_2:_The_Darkening","Wikipedia")</x:f>
        <x:v>Wikipedia</x:v>
      </x:c>
      <x:c r="BF550" s="11" t="str">
        <x:f>HYPERLINK("https://backloggd.com/search/games/Privateer%202%3A%20The%20Darkening/","Backloggd")</x:f>
        <x:v>Backloggd</x:v>
      </x:c>
      <x:c r="BG550" s="9"/>
      <x:c r="BH550" s="9"/>
      <x:c r="BI550" s="12" t="str">
        <x:v>No</x:v>
      </x:c>
      <x:c r="BJ550" s="12" t="str"/>
      <x:c r="BK550" s="12" t="str">
        <x:v>No</x:v>
      </x:c>
      <x:c r="BL550" s="12" t="str"/>
      <x:c r="BM550" s="12" t="str"/>
      <x:c r="BN550" s="12" t="str"/>
      <x:c r="BO550" s="12" t="str"/>
      <x:c r="BP550" s="12" t="str"/>
      <x:c r="BQ550" s="12" t="str"/>
    </x:row>
    <x:row r="551">
      <x:c r="A551" s="9" t="str">
        <x:v>pc-21</x:v>
      </x:c>
      <x:c r="B551" s="9" t="str">
        <x:v>johnny-mnemonic</x:v>
      </x:c>
      <x:c r="C551" s="9" t="str">
        <x:v>PC</x:v>
      </x:c>
      <x:c r="D551" s="9" t="str">
        <x:v>Johnny Mnemonic</x:v>
      </x:c>
      <x:c r="E551" s="9" t="str">
        <x:v>Johnny Mnemonic: The Interactive Action Movie</x:v>
      </x:c>
      <x:c r="F551" s="9" t="str">
        <x:v>Propaganda Code / Evolutionary Publishing</x:v>
      </x:c>
      <x:c r="G551" s="9" t="str">
        <x:v>Sony Imagesoft</x:v>
      </x:c>
      <x:c r="H551" s="9" t="n">
        <x:v>1995</x:v>
      </x:c>
      <x:c r="I551" s="9" t="str">
        <x:v>Yes</x:v>
      </x:c>
      <x:c r="J551" s="9" t="str">
        <x:v>No</x:v>
      </x:c>
      <x:c r="K551" s="9" t="str">
        <x:v>No</x:v>
      </x:c>
      <x:c r="L551" s="9" t="str">
        <x:v>No</x:v>
      </x:c>
      <x:c r="M551" s="9" t="str">
        <x:v>Interactive movie</x:v>
      </x:c>
      <x:c r="N551" s="9" t="str">
        <x:v>Live-action</x:v>
      </x:c>
      <x:c r="O551" s="9" t="n">
        <x:v>10</x:v>
      </x:c>
      <x:c r="P551" s="9" t="str">
        <x:v>Interactive movie</x:v>
      </x:c>
      <x:c r="Q551" s="9" t="str">
        <x:v>Released</x:v>
      </x:c>
      <x:c r="R551" s="9" t="str">
        <x:v>Film license (Johnny Mnemonic, 1995) with original footage</x:v>
      </x:c>
      <x:c r="S551" s="9" t="str">
        <x:v>Mac</x:v>
      </x:c>
      <x:c r="T551" s="9" t="str">
        <x:v>Christopher Gartin (Johnny), Isaac Hayes, Kurt Rambis, Doug Llewelyn, Julie Strain</x:v>
      </x:c>
      <x:c r="U551" s="9" t="n">
        <x:v>2</x:v>
      </x:c>
      <x:c r="V551" s="9" t="str">
        <x:v>Yes</x:v>
      </x:c>
      <x:c r="W551" s="9" t="str">
        <x:v>486/33, 8 MB RAM, 2x CD-ROM; Win 3.1 &amp; Mac</x:v>
      </x:c>
      <x:c r="X551" s="9" t="str">
        <x:v>Low–Med</x:v>
      </x:c>
      <x:c r="Y551" s="9" t="str">
        <x:v>Film license branding — verify</x:v>
      </x:c>
      <x:c r="Z551" s="9" t="str">
        <x:v>2–3 hr</x:v>
      </x:c>
      <x:c r="AA551" s="9" t="str">
        <x:v>Not the Keanu film: a separately shot, Gibson-approved interactive movie with its own cast.</x:v>
      </x:c>
      <x:c r="AB551" s="9" t="str">
        <x:v>None known</x:v>
      </x:c>
      <x:c r="AC551" s="9" t="str">
        <x:v>Full-screen live-action video — verify res/fps</x:v>
      </x:c>
      <x:c r="AD551" s="9" t="str">
        <x:v>Unforgiving timed choices and fight QTEs</x:v>
      </x:c>
      <x:c r="AE551" s="9" t="str">
        <x:v>One ending; many fail scenes</x:v>
      </x:c>
      <x:c r="AF551" s="9" t="str">
        <x:v>Shot with its own cast, separate from the Keanu Reeves film released the same year.</x:v>
      </x:c>
      <x:c r="AG551" s="9" t="str">
        <x:v>Win/Mac hybrid</x:v>
      </x:c>
      <x:c r="AH551" s="9" t="str">
        <x:v>No</x:v>
      </x:c>
      <x:c r="AI551" s="9" t="str">
        <x:v>Emulation only</x:v>
      </x:c>
      <x:c r="AJ551" s="9" t="str">
        <x:v>86Box/PCem for Windows 3.1/95-era titles</x:v>
      </x:c>
      <x:c r="AK551" s="9" t="str">
        <x:v>Disc count verify. MobyGames scores not captured: search results returned no snippets and MobyGames blocks fetches (verify). PriceCharting not fetched: the session's web-fetch budget ran out; re-run price lookup.</x:v>
      </x:c>
      <x:c r="AL551" s="10"/>
      <x:c r="AM551" s="10" t="n">
        <x:v>29.99</x:v>
      </x:c>
      <x:c r="AN551" s="10"/>
      <x:c r="AO551" s="9" t="str">
        <x:v>2026-10-24</x:v>
      </x:c>
      <x:c r="AP551" s="11" t="str">
        <x:f>HYPERLINK("https://www.pricecharting.com/game/pc-games/johnny-mnemonic-the-interactive-action-movie","PriceCharting")</x:f>
        <x:v>PriceCharting</x:v>
      </x:c>
      <x:c r="AQ551" s="9"/>
      <x:c r="AR551" s="9"/>
      <x:c r="AS551" s="9"/>
      <x:c r="AT551" s="9"/>
      <x:c r="AU551" s="9"/>
      <x:c r="AV551" s="9"/>
      <x:c r="AW551" s="9"/>
      <x:c r="AX551" s="9"/>
      <x:c r="AY551" s="9" t="str">
        <x:v>39%</x:v>
      </x:c>
      <x:c r="AZ551" s="9"/>
      <x:c r="BA551" s="11" t="str">
        <x:f>HYPERLINK("https://www.mobygames.com/game/windows/johnny-mnemonic","MobyGames")</x:f>
        <x:v>MobyGames</x:v>
      </x:c>
      <x:c r="BB551" s="9"/>
      <x:c r="BC551" s="9"/>
      <x:c r="BD551" s="9"/>
      <x:c r="BE551" s="11" t="str">
        <x:f>HYPERLINK("https://en.wikipedia.org/wiki/Johnny_Mnemonic_(video_game)","Wikipedia")</x:f>
        <x:v>Wikipedia</x:v>
      </x:c>
      <x:c r="BF551" s="11" t="str">
        <x:f>HYPERLINK("https://backloggd.com/search/games/Johnny%20Mnemonic/","Backloggd")</x:f>
        <x:v>Backloggd</x:v>
      </x:c>
      <x:c r="BG551" s="9"/>
      <x:c r="BH551" s="9"/>
      <x:c r="BI551" s="12" t="str">
        <x:v>No</x:v>
      </x:c>
      <x:c r="BJ551" s="12" t="str"/>
      <x:c r="BK551" s="12" t="str">
        <x:v>No</x:v>
      </x:c>
      <x:c r="BL551" s="12" t="str"/>
      <x:c r="BM551" s="12" t="str"/>
      <x:c r="BN551" s="12" t="str"/>
      <x:c r="BO551" s="12" t="str"/>
      <x:c r="BP551" s="12" t="str"/>
      <x:c r="BQ551" s="12" t="str"/>
    </x:row>
    <x:row r="552">
      <x:c r="A552" s="9" t="str">
        <x:v>pc-22</x:v>
      </x:c>
      <x:c r="B552" s="9" t="str">
        <x:v>voyeur</x:v>
      </x:c>
      <x:c r="C552" s="9" t="str">
        <x:v>PC</x:v>
      </x:c>
      <x:c r="D552" s="9" t="str">
        <x:v>Voyeur</x:v>
      </x:c>
      <x:c r="E552" s="9" t="str"/>
      <x:c r="F552" s="9" t="str">
        <x:v>Philips POV Entertainment</x:v>
      </x:c>
      <x:c r="G552" s="9" t="str">
        <x:v>Philips Media</x:v>
      </x:c>
      <x:c r="H552" s="9" t="n">
        <x:v>1994</x:v>
      </x:c>
      <x:c r="I552" s="9" t="str">
        <x:v>Yes</x:v>
      </x:c>
      <x:c r="J552" s="9" t="str">
        <x:v>No</x:v>
      </x:c>
      <x:c r="K552" s="9" t="str">
        <x:v>Yes</x:v>
      </x:c>
      <x:c r="L552" s="9" t="str">
        <x:v>No</x:v>
      </x:c>
      <x:c r="M552" s="9" t="str">
        <x:v>Interactive movie</x:v>
      </x:c>
      <x:c r="N552" s="9" t="str">
        <x:v>Live-action</x:v>
      </x:c>
      <x:c r="O552" s="9" t="n">
        <x:v>10</x:v>
      </x:c>
      <x:c r="P552" s="9" t="str">
        <x:v>Interactive movie</x:v>
      </x:c>
      <x:c r="Q552" s="9" t="str">
        <x:v>Released</x:v>
      </x:c>
      <x:c r="R552" s="9" t="str">
        <x:v>CD-i original (1993)</x:v>
      </x:c>
      <x:c r="S552" s="9" t="str">
        <x:v>CD-i, Mac</x:v>
      </x:c>
      <x:c r="T552" s="9" t="str">
        <x:v>Robert Culp (Reed Hawke), Grace Zabriskie (Margaret Hawke)</x:v>
      </x:c>
      <x:c r="U552" s="9" t="n">
        <x:v>1</x:v>
      </x:c>
      <x:c r="V552" s="9" t="str">
        <x:v>Yes</x:v>
      </x:c>
      <x:c r="W552" s="9" t="str">
        <x:v>486/33, 8 MB RAM, 2x CD-ROM; DOS/Win 3.1 &amp; Mac</x:v>
      </x:c>
      <x:c r="X552" s="9" t="str">
        <x:v>Low</x:v>
      </x:c>
      <x:c r="Y552" s="9" t="str"/>
      <x:c r="Z552" s="9" t="str">
        <x:v>30–60 min per run</x:v>
      </x:c>
      <x:c r="AA552" s="9" t="str">
        <x:v>Spy on a presidential candidate's family through binoculars across the street before they get away with murder.</x:v>
      </x:c>
      <x:c r="AB552" s="9" t="str">
        <x:v>None known</x:v>
      </x:c>
      <x:c r="AC552" s="9" t="str">
        <x:v>Windowed live-action through a binocular frame — verify res/fps</x:v>
      </x:c>
      <x:c r="AD552" s="9" t="str">
        <x:v>Timed; easy once you know which windows to watch</x:v>
      </x:c>
      <x:c r="AE552" s="9" t="str">
        <x:v>Several endings; the killer varies between plays</x:v>
      </x:c>
      <x:c r="AF552" s="9" t="str">
        <x:v>Marketed on its simulated sex scenes, it carried a mature rating; a PC sequel starred Jennifer O'Neill.</x:v>
      </x:c>
      <x:c r="AG552" s="9" t="str">
        <x:v>Win/Mac hybrid — verify</x:v>
      </x:c>
      <x:c r="AH552" s="9" t="str">
        <x:v>Yes (Steam, Pixel Games UK DOS re-release)</x:v>
      </x:c>
      <x:c r="AI552" s="9" t="str">
        <x:v>Emulation only</x:v>
      </x:c>
      <x:c r="AJ552" s="9" t="str">
        <x:v>Steam Windows release: https://store.steampowered.com/app/1414500/ ; original DOS disc is also supported by ScummVM.</x:v>
      </x:c>
      <x:c r="AK552" s="9" t="str">
        <x:v>PC year verify (CD-i 1993). MobyGames scores not captured: search results returned no snippets and MobyGames blocks fetches (verify). PriceCharting not fetched: the session's web-fetch budget ran out; re-run price lookup.</x:v>
      </x:c>
      <x:c r="AL552" s="10" t="n">
        <x:v>8.81</x:v>
      </x:c>
      <x:c r="AM552" s="10" t="n">
        <x:v>32.5</x:v>
      </x:c>
      <x:c r="AN552" s="10" t="n">
        <x:v>40</x:v>
      </x:c>
      <x:c r="AO552" s="9" t="str">
        <x:v>2026-10-24</x:v>
      </x:c>
      <x:c r="AP552" s="11" t="str">
        <x:f>HYPERLINK("https://www.pricecharting.com/game/pc-games/voyeur","PriceCharting")</x:f>
        <x:v>PriceCharting</x:v>
      </x:c>
      <x:c r="AQ552" s="9" t="n">
        <x:v>8.99</x:v>
      </x:c>
      <x:c r="AR552" s="11" t="str">
        <x:v>Steam</x:v>
      </x:c>
      <x:c r="AS552" s="9" t="str">
        <x:f>HYPERLINK("https://store.steampowered.com/app/1414500/","Store")</x:f>
        <x:v>Store</x:v>
      </x:c>
      <x:c r="AT552" s="9" t="str">
        <x:v>2026-10-25</x:v>
      </x:c>
      <x:c r="AU552" s="9"/>
      <x:c r="AV552" s="9"/>
      <x:c r="AW552" s="9"/>
      <x:c r="AX552" s="9"/>
      <x:c r="AY552" s="9" t="str">
        <x:v>52%</x:v>
      </x:c>
      <x:c r="AZ552" s="9" t="str">
        <x:v>2.1</x:v>
      </x:c>
      <x:c r="BA552" s="11" t="str">
        <x:f>HYPERLINK("https://www.mobygames.com/game/dos/voyeur","MobyGames")</x:f>
        <x:v>MobyGames</x:v>
      </x:c>
      <x:c r="BB552" s="9"/>
      <x:c r="BC552" s="9"/>
      <x:c r="BD552" s="9"/>
      <x:c r="BE552" s="11" t="str">
        <x:f>HYPERLINK("https://en.wikipedia.org/wiki/Voyeur_(video_game)","Wikipedia")</x:f>
        <x:v>Wikipedia</x:v>
      </x:c>
      <x:c r="BF552" s="11" t="str">
        <x:f>HYPERLINK("https://backloggd.com/search/games/Voyeur/","Backloggd")</x:f>
        <x:v>Backloggd</x:v>
      </x:c>
      <x:c r="BG552" s="9"/>
      <x:c r="BH552" s="9"/>
      <x:c r="BI552" s="12" t="str">
        <x:v>No</x:v>
      </x:c>
      <x:c r="BJ552" s="12" t="str"/>
      <x:c r="BK552" s="12" t="str">
        <x:v>No</x:v>
      </x:c>
      <x:c r="BL552" s="12" t="str"/>
      <x:c r="BM552" s="12" t="str"/>
      <x:c r="BN552" s="12" t="str"/>
      <x:c r="BO552" s="12" t="str"/>
      <x:c r="BP552" s="12" t="str"/>
      <x:c r="BQ552" s="12" t="str"/>
    </x:row>
    <x:row r="553">
      <x:c r="A553" s="9" t="str">
        <x:v>pc-23</x:v>
      </x:c>
      <x:c r="B553" s="9" t="str">
        <x:v>voyeur-ii</x:v>
      </x:c>
      <x:c r="C553" s="9" t="str">
        <x:v>PC</x:v>
      </x:c>
      <x:c r="D553" s="9" t="str">
        <x:v>Voyeur II</x:v>
      </x:c>
      <x:c r="E553" s="9" t="str"/>
      <x:c r="F553" s="9" t="str">
        <x:v>Philips POV Entertainment</x:v>
      </x:c>
      <x:c r="G553" s="9" t="str">
        <x:v>Philips Media</x:v>
      </x:c>
      <x:c r="H553" s="9" t="n">
        <x:v>1996</x:v>
      </x:c>
      <x:c r="I553" s="9" t="str">
        <x:v>Yes</x:v>
      </x:c>
      <x:c r="J553" s="9" t="str">
        <x:v>No</x:v>
      </x:c>
      <x:c r="K553" s="9" t="str">
        <x:v>Yes</x:v>
      </x:c>
      <x:c r="L553" s="9" t="str">
        <x:v>No</x:v>
      </x:c>
      <x:c r="M553" s="9" t="str">
        <x:v>Interactive movie</x:v>
      </x:c>
      <x:c r="N553" s="9" t="str">
        <x:v>Live-action</x:v>
      </x:c>
      <x:c r="O553" s="9" t="n">
        <x:v>10</x:v>
      </x:c>
      <x:c r="P553" s="9" t="str">
        <x:v>Interactive movie</x:v>
      </x:c>
      <x:c r="Q553" s="9" t="str">
        <x:v>Released</x:v>
      </x:c>
      <x:c r="R553" s="9" t="str">
        <x:v>PC original; sequel to Voyeur</x:v>
      </x:c>
      <x:c r="S553" s="9" t="str">
        <x:v>Mac</x:v>
      </x:c>
      <x:c r="T553" s="9" t="str">
        <x:v>Jennifer O'Neill (Dr. Elizabeth Duran), Dennis Weaver (Sheriff John Parker), David Groh (Sylvio Donato), Mathew Flint (Peter Cussler), Karen Mayo-Chandler (Rachel Cussler), William Paul Burns (Dr. Everett Cussler), Devin Spirtas (Colin), Kari Whitman (Candace)</x:v>
      </x:c>
      <x:c r="U553" s="9" t="n">
        <x:v>3</x:v>
      </x:c>
      <x:c r="V553" s="9" t="str">
        <x:v>Yes</x:v>
      </x:c>
      <x:c r="W553" s="9" t="str">
        <x:v>486DX2/66, 8 MB RAM, 2x CD-ROM; Win 95 &amp; Mac</x:v>
      </x:c>
      <x:c r="X553" s="9" t="str">
        <x:v>Low</x:v>
      </x:c>
      <x:c r="Y553" s="9" t="str"/>
      <x:c r="Z553" s="9" t="str">
        <x:v>1–2 hr per run</x:v>
      </x:c>
      <x:c r="AA553" s="9" t="str">
        <x:v>The voyeur returns: spy into a new house of secrets and stop a murder before dawn.</x:v>
      </x:c>
      <x:c r="AB553" s="9" t="str">
        <x:v>None known</x:v>
      </x:c>
      <x:c r="AC553" s="9" t="str">
        <x:v>Windowed live-action video — verify res/fps</x:v>
      </x:c>
      <x:c r="AD553" s="9" t="str">
        <x:v>Timed</x:v>
      </x:c>
      <x:c r="AE553" s="9" t="str">
        <x:v>Multiple endings — verify</x:v>
      </x:c>
      <x:c r="AF553" s="9" t="str">
        <x:v>Philips' PC-only sequel, released as its CD-i business was winding down.</x:v>
      </x:c>
      <x:c r="AG553" s="9" t="str"/>
      <x:c r="AH553" s="9" t="str">
        <x:v>No</x:v>
      </x:c>
      <x:c r="AI553" s="9" t="str">
        <x:v>Emulation only</x:v>
      </x:c>
      <x:c r="AJ553" s="9" t="str">
        <x:v>86Box/PCem for Windows 3.1/95-era titles</x:v>
      </x:c>
      <x:c r="AK553" s="9" t="str">
        <x:v>Disc count verify. MobyGames scores not captured: search results returned no snippets and MobyGames blocks fetches (verify). PriceCharting not fetched: the session's web-fetch budget ran out; re-run price lookup.</x:v>
      </x:c>
      <x:c r="AL553" s="10"/>
      <x:c r="AM553" s="10"/>
      <x:c r="AN553" s="10"/>
      <x:c r="AO553" s="9"/>
      <x:c r="AP553" s="11" t="str">
        <x:f>HYPERLINK("https://www.pricecharting.com/search-products?q=Voyeur+II+pc+games&amp;type=prices","PriceCharting")</x:f>
        <x:v>PriceCharting</x:v>
      </x:c>
      <x:c r="AQ553" s="9"/>
      <x:c r="AR553" s="9"/>
      <x:c r="AS553" s="9"/>
      <x:c r="AT553" s="9"/>
      <x:c r="AU553" s="9" t="str">
        <x:v>No market</x:v>
      </x:c>
      <x:c r="AV553" s="9" t="str">
        <x:v>Not sold on Steam or GOG (checked 2026-10-25) and no PriceCharting listing.</x:v>
      </x:c>
      <x:c r="AW553" s="9"/>
      <x:c r="AX553" s="9"/>
      <x:c r="AY553" s="9" t="str">
        <x:v>52%</x:v>
      </x:c>
      <x:c r="AZ553" s="9" t="str">
        <x:v>2.2</x:v>
      </x:c>
      <x:c r="BA553" s="11" t="str">
        <x:f>HYPERLINK("https://www.mobygames.com/game/dos/voyeur-ii","MobyGames")</x:f>
        <x:v>MobyGames</x:v>
      </x:c>
      <x:c r="BB553" s="9"/>
      <x:c r="BC553" s="9"/>
      <x:c r="BD553" s="9"/>
      <x:c r="BE553" s="11" t="str">
        <x:f>HYPERLINK("https://en.wikipedia.org/wiki/Voyeur_II","Wikipedia")</x:f>
        <x:v>Wikipedia</x:v>
      </x:c>
      <x:c r="BF553" s="11" t="str">
        <x:f>HYPERLINK("https://backloggd.com/search/games/Voyeur%20II/","Backloggd")</x:f>
        <x:v>Backloggd</x:v>
      </x:c>
      <x:c r="BG553" s="9"/>
      <x:c r="BH553" s="9"/>
      <x:c r="BI553" s="12" t="str">
        <x:v>No</x:v>
      </x:c>
      <x:c r="BJ553" s="12" t="str"/>
      <x:c r="BK553" s="12" t="str">
        <x:v>No</x:v>
      </x:c>
      <x:c r="BL553" s="12" t="str"/>
      <x:c r="BM553" s="12" t="str"/>
      <x:c r="BN553" s="12" t="str"/>
      <x:c r="BO553" s="12" t="str"/>
      <x:c r="BP553" s="12" t="str"/>
      <x:c r="BQ553" s="12" t="str"/>
    </x:row>
    <x:row r="554">
      <x:c r="A554" s="9" t="str">
        <x:v>pc-24</x:v>
      </x:c>
      <x:c r="B554" s="9" t="str">
        <x:v>psychic-detective</x:v>
      </x:c>
      <x:c r="C554" s="9" t="str">
        <x:v>PC</x:v>
      </x:c>
      <x:c r="D554" s="9" t="str">
        <x:v>Psychic Detective</x:v>
      </x:c>
      <x:c r="E554" s="9" t="str"/>
      <x:c r="F554" s="9" t="str">
        <x:v>Colossal Pictures</x:v>
      </x:c>
      <x:c r="G554" s="9" t="str">
        <x:v>Electronic Arts</x:v>
      </x:c>
      <x:c r="H554" s="9" t="n">
        <x:v>1995</x:v>
      </x:c>
      <x:c r="I554" s="9" t="str">
        <x:v>Yes</x:v>
      </x:c>
      <x:c r="J554" s="9" t="str">
        <x:v>No</x:v>
      </x:c>
      <x:c r="K554" s="9" t="str">
        <x:v>No</x:v>
      </x:c>
      <x:c r="L554" s="9" t="str">
        <x:v>No</x:v>
      </x:c>
      <x:c r="M554" s="9" t="str">
        <x:v>Interactive movie / mystery</x:v>
      </x:c>
      <x:c r="N554" s="9" t="str">
        <x:v>Live-action</x:v>
      </x:c>
      <x:c r="O554" s="9" t="n">
        <x:v>10</x:v>
      </x:c>
      <x:c r="P554" s="9" t="str">
        <x:v>Interactive movie</x:v>
      </x:c>
      <x:c r="Q554" s="9" t="str">
        <x:v>Released</x:v>
      </x:c>
      <x:c r="R554" s="9" t="str">
        <x:v>Original production (EA / Colossal Pictures)</x:v>
      </x:c>
      <x:c r="S554" s="9" t="str">
        <x:v>3DO, PlayStation</x:v>
      </x:c>
      <x:c r="T554" s="9" t="str">
        <x:v>Kevin Breznahan as Eric Fox, Beata Pozniak as Laina Pozok</x:v>
      </x:c>
      <x:c r="U554" s="9" t="n">
        <x:v>3</x:v>
      </x:c>
      <x:c r="V554" s="9" t="str">
        <x:v>Yes</x:v>
      </x:c>
      <x:c r="W554" s="9" t="str">
        <x:v>486DX2/66, 8 MB RAM, 2x CD-ROM; DOS &amp; Win 95 — verify</x:v>
      </x:c>
      <x:c r="X554" s="9" t="str">
        <x:v>Low</x:v>
      </x:c>
      <x:c r="Y554" s="9" t="str"/>
      <x:c r="Z554" s="9" t="str">
        <x:v>30–60 min per run; many runs to see all paths</x:v>
      </x:c>
      <x:c r="AA554" s="9" t="str">
        <x:v>You play a psychic who jumps between people's minds mid-scene, so every playthrough cuts the same murder mystery differently.</x:v>
      </x:c>
      <x:c r="AB554" s="9" t="str">
        <x:v>None known</x:v>
      </x:c>
      <x:c r="AC554" s="9" t="str">
        <x:v>Small windowed video with on-screen mind icons — verify res/fps</x:v>
      </x:c>
      <x:c r="AD554" s="9" t="str">
        <x:v>Light; the challenge is reading the right mind at the right moment</x:v>
      </x:c>
      <x:c r="AE554" s="9" t="str">
        <x:v>Multiple endings depending on whose minds you read</x:v>
      </x:c>
      <x:c r="AF554" s="9" t="str">
        <x:v>About 200 people worked on it, including 95 actors; shot over 20 days in San Francisco and Oakland.</x:v>
      </x:c>
      <x:c r="AG554" s="9" t="str">
        <x:v>3-CD release</x:v>
      </x:c>
      <x:c r="AH554" s="9" t="str">
        <x:v>No</x:v>
      </x:c>
      <x:c r="AI554" s="9" t="str">
        <x:v>Emulation only</x:v>
      </x:c>
      <x:c r="AJ554" s="9" t="str">
        <x:v>Original discs in DOSBox — verify DOS vs Windows build</x:v>
      </x:c>
      <x:c r="AK554" s="9" t="str">
        <x:v>MobyGames scores not captured: search results returned no snippets and MobyGames blocks fetches (verify). PriceCharting not fetched: the session's web-fetch budget ran out; re-run price lookup.</x:v>
      </x:c>
      <x:c r="AL554" s="10" t="n">
        <x:v>2.95</x:v>
      </x:c>
      <x:c r="AM554" s="10" t="n">
        <x:v>19.67</x:v>
      </x:c>
      <x:c r="AN554" s="10" t="n">
        <x:v>30</x:v>
      </x:c>
      <x:c r="AO554" s="9" t="str">
        <x:v>2026-10-24</x:v>
      </x:c>
      <x:c r="AP554" s="11" t="str">
        <x:f>HYPERLINK("https://www.pricecharting.com/game/pc-games/psychic-detective","PriceCharting")</x:f>
        <x:v>PriceCharting</x:v>
      </x:c>
      <x:c r="AQ554" s="9"/>
      <x:c r="AR554" s="9"/>
      <x:c r="AS554" s="9"/>
      <x:c r="AT554" s="9"/>
      <x:c r="AU554" s="9"/>
      <x:c r="AV554" s="9"/>
      <x:c r="AW554" s="9"/>
      <x:c r="AX554" s="9"/>
      <x:c r="AY554" s="9"/>
      <x:c r="AZ554" s="9"/>
      <x:c r="BA554" s="11" t="str">
        <x:f>HYPERLINK("https://www.mobygames.com/search/?q=Psychic+Detective","MobyGames")</x:f>
        <x:v>MobyGames</x:v>
      </x:c>
      <x:c r="BB554" s="9" t="str">
        <x:v>44%</x:v>
      </x:c>
      <x:c r="BC554" s="9" t="str">
        <x:v>GameRankings, 2 reviews</x:v>
      </x:c>
      <x:c r="BD554" s="9" t="str">
        <x:f>HYPERLINK("https://web.archive.org/web/20191209014910id_/https://www.gamerankings.com/pc/198363-psychic-detective/","Source")</x:f>
        <x:v>Source</x:v>
      </x:c>
      <x:c r="BE554" s="11" t="str">
        <x:f>HYPERLINK("https://en.wikipedia.org/wiki/Psychic_Detective_(video_game)","Wikipedia")</x:f>
        <x:v>Wikipedia</x:v>
      </x:c>
      <x:c r="BF554" s="11" t="str">
        <x:f>HYPERLINK("https://backloggd.com/search/games/Psychic%20Detective/","Backloggd")</x:f>
        <x:v>Backloggd</x:v>
      </x:c>
      <x:c r="BG554" s="9"/>
      <x:c r="BH554" s="9"/>
      <x:c r="BI554" s="12" t="str">
        <x:v>No</x:v>
      </x:c>
      <x:c r="BJ554" s="12" t="str"/>
      <x:c r="BK554" s="12" t="str">
        <x:v>No</x:v>
      </x:c>
      <x:c r="BL554" s="12" t="str"/>
      <x:c r="BM554" s="12" t="str"/>
      <x:c r="BN554" s="12" t="str"/>
      <x:c r="BO554" s="12" t="str"/>
      <x:c r="BP554" s="12" t="str"/>
      <x:c r="BQ554" s="12" t="str"/>
    </x:row>
    <x:row r="555">
      <x:c r="A555" s="9" t="str">
        <x:v>pc-25</x:v>
      </x:c>
      <x:c r="B555" s="9" t="str">
        <x:v>fox-hunt</x:v>
      </x:c>
      <x:c r="C555" s="9" t="str">
        <x:v>PC</x:v>
      </x:c>
      <x:c r="D555" s="9" t="str">
        <x:v>Fox Hunt</x:v>
      </x:c>
      <x:c r="E555" s="9" t="str"/>
      <x:c r="F555" s="9" t="str">
        <x:v>3Vision</x:v>
      </x:c>
      <x:c r="G555" s="9" t="str">
        <x:v>Capcom</x:v>
      </x:c>
      <x:c r="H555" s="9" t="n">
        <x:v>1996</x:v>
      </x:c>
      <x:c r="I555" s="9" t="str">
        <x:v>Yes</x:v>
      </x:c>
      <x:c r="J555" s="9" t="str">
        <x:v>No</x:v>
      </x:c>
      <x:c r="K555" s="9" t="str">
        <x:v>No</x:v>
      </x:c>
      <x:c r="L555" s="9" t="str">
        <x:v>No</x:v>
      </x:c>
      <x:c r="M555" s="9" t="str">
        <x:v>Interactive movie / comedy</x:v>
      </x:c>
      <x:c r="N555" s="9" t="str">
        <x:v>Live-action</x:v>
      </x:c>
      <x:c r="O555" s="9" t="n">
        <x:v>10</x:v>
      </x:c>
      <x:c r="P555" s="9" t="str">
        <x:v>Interactive movie</x:v>
      </x:c>
      <x:c r="Q555" s="9" t="str">
        <x:v>Released</x:v>
      </x:c>
      <x:c r="R555" s="9" t="str">
        <x:v>Original production</x:v>
      </x:c>
      <x:c r="S555" s="9" t="str">
        <x:v>PlayStation</x:v>
      </x:c>
      <x:c r="T555" s="9" t="str">
        <x:v>Timothy Bottoms, George Lazenby — verify; others unknown</x:v>
      </x:c>
      <x:c r="U555" s="9" t="n">
        <x:v>3</x:v>
      </x:c>
      <x:c r="V555" s="9" t="str">
        <x:v>Yes</x:v>
      </x:c>
      <x:c r="W555" s="9" t="str">
        <x:v>486DX2/66, 8 MB RAM, 2x CD-ROM; Win 95 — verify</x:v>
      </x:c>
      <x:c r="X555" s="9" t="str">
        <x:v>Low</x:v>
      </x:c>
      <x:c r="Y555" s="9" t="str"/>
      <x:c r="Z555" s="9" t="str">
        <x:v>2–3 hr</x:v>
      </x:c>
      <x:c r="AA555" s="9" t="str">
        <x:v>Capcom's only FMV spy comedy, with a former James Bond, George Lazenby, in the cast.</x:v>
      </x:c>
      <x:c r="AB555" s="9" t="str">
        <x:v>None known</x:v>
      </x:c>
      <x:c r="AC555" s="9" t="str">
        <x:v>Full-screen live-action — verify res/fps</x:v>
      </x:c>
      <x:c r="AD555" s="9" t="str">
        <x:v>Trial-and-error choices</x:v>
      </x:c>
      <x:c r="AE555" s="9" t="str">
        <x:v>Multiple fail endings; one good ending — verify</x:v>
      </x:c>
      <x:c r="AF555" s="9" t="str">
        <x:v>Capcom USA published it in 1996, long after the FMV boom peaked.</x:v>
      </x:c>
      <x:c r="AG555" s="9" t="str">
        <x:v>Windows CD release</x:v>
      </x:c>
      <x:c r="AH555" s="9" t="str">
        <x:v>No</x:v>
      </x:c>
      <x:c r="AI555" s="9" t="str">
        <x:v>Emulation only</x:v>
      </x:c>
      <x:c r="AJ555" s="9" t="str">
        <x:v>86Box/PCem for Windows 95-era titles</x:v>
      </x:c>
      <x:c r="AK555" s="9" t="str">
        <x:v>Developer name verify. MobyGames scores not captured: search results returned no snippets and MobyGames blocks fetches (verify). PriceCharting not fetched: the session's web-fetch budget ran out; re-run price lookup.</x:v>
      </x:c>
      <x:c r="AL555" s="10" t="n">
        <x:v>14.87</x:v>
      </x:c>
      <x:c r="AM555" s="10" t="n">
        <x:v>25</x:v>
      </x:c>
      <x:c r="AN555" s="10" t="n">
        <x:v>40.13</x:v>
      </x:c>
      <x:c r="AO555" s="9" t="str">
        <x:v>2026-10-24</x:v>
      </x:c>
      <x:c r="AP555" s="11" t="str">
        <x:f>HYPERLINK("https://www.pricecharting.com/game/pc-games/fox-hunt","PriceCharting")</x:f>
        <x:v>PriceCharting</x:v>
      </x:c>
      <x:c r="AQ555" s="9"/>
      <x:c r="AR555" s="9"/>
      <x:c r="AS555" s="9"/>
      <x:c r="AT555" s="9"/>
      <x:c r="AU555" s="9"/>
      <x:c r="AV555" s="9"/>
      <x:c r="AW555" s="9"/>
      <x:c r="AX555" s="9"/>
      <x:c r="AY555" s="9"/>
      <x:c r="AZ555" s="9"/>
      <x:c r="BA555" s="11" t="str">
        <x:f>HYPERLINK("https://www.mobygames.com/search/?q=Fox+Hunt","MobyGames")</x:f>
        <x:v>MobyGames</x:v>
      </x:c>
      <x:c r="BB555" s="9" t="str">
        <x:v>68%</x:v>
      </x:c>
      <x:c r="BC555" s="9" t="str">
        <x:v>GameRankings, 1 review</x:v>
      </x:c>
      <x:c r="BD555" s="9" t="str">
        <x:f>HYPERLINK("https://web.archive.org/web/20191209011814id_/https://www.gamerankings.com/pc/197378-fox-hunt/","Source")</x:f>
        <x:v>Source</x:v>
      </x:c>
      <x:c r="BE555" s="11" t="str">
        <x:f>HYPERLINK("https://en.wikipedia.org/wiki/Fox_Hunt_(video_game)","Wikipedia")</x:f>
        <x:v>Wikipedia</x:v>
      </x:c>
      <x:c r="BF555" s="11" t="str">
        <x:f>HYPERLINK("https://backloggd.com/search/games/Fox%20Hunt/","Backloggd")</x:f>
        <x:v>Backloggd</x:v>
      </x:c>
      <x:c r="BG555" s="9"/>
      <x:c r="BH555" s="9"/>
      <x:c r="BI555" s="12" t="str">
        <x:v>No</x:v>
      </x:c>
      <x:c r="BJ555" s="12" t="str"/>
      <x:c r="BK555" s="12" t="str">
        <x:v>No</x:v>
      </x:c>
      <x:c r="BL555" s="12" t="str"/>
      <x:c r="BM555" s="12" t="str"/>
      <x:c r="BN555" s="12" t="str"/>
      <x:c r="BO555" s="12" t="str"/>
      <x:c r="BP555" s="12" t="str"/>
      <x:c r="BQ555" s="12" t="str"/>
    </x:row>
    <x:row r="556">
      <x:c r="A556" s="9" t="str">
        <x:v>pc-26</x:v>
      </x:c>
      <x:c r="B556" s="9" t="str">
        <x:v>spycraft-the-great-game</x:v>
      </x:c>
      <x:c r="C556" s="9" t="str">
        <x:v>PC</x:v>
      </x:c>
      <x:c r="D556" s="9" t="str">
        <x:v>Spycraft: The Great Game</x:v>
      </x:c>
      <x:c r="E556" s="9" t="str"/>
      <x:c r="F556" s="9" t="str">
        <x:v>Activision</x:v>
      </x:c>
      <x:c r="G556" s="9" t="str">
        <x:v>Activision</x:v>
      </x:c>
      <x:c r="H556" s="9" t="n">
        <x:v>1996</x:v>
      </x:c>
      <x:c r="I556" s="9" t="str">
        <x:v>Yes</x:v>
      </x:c>
      <x:c r="J556" s="9" t="str">
        <x:v>No</x:v>
      </x:c>
      <x:c r="K556" s="9" t="str">
        <x:v>Yes</x:v>
      </x:c>
      <x:c r="L556" s="9" t="str">
        <x:v>No</x:v>
      </x:c>
      <x:c r="M556" s="9" t="str">
        <x:v>Espionage adventure</x:v>
      </x:c>
      <x:c r="N556" s="9" t="str">
        <x:v>Live-action</x:v>
      </x:c>
      <x:c r="O556" s="9" t="n">
        <x:v>6</x:v>
      </x:c>
      <x:c r="P556" s="9" t="str">
        <x:v>FMV adventure</x:v>
      </x:c>
      <x:c r="Q556" s="9" t="str">
        <x:v>Released</x:v>
      </x:c>
      <x:c r="R556" s="9" t="str">
        <x:v>PC original</x:v>
      </x:c>
      <x:c r="S556" s="9" t="str">
        <x:v>—</x:v>
      </x:c>
      <x:c r="T556" s="9" t="str">
        <x:v>William Colby and Oleg Kalugin (as themselves); James Karen, Dennis Lipscomb, Joseph Ruskin, Tim De Zarn, Kirk B.R. Woller (Grendel), Allan Kolman, Chase Masterson, Charles Napier</x:v>
      </x:c>
      <x:c r="U556" s="9" t="n">
        <x:v>3</x:v>
      </x:c>
      <x:c r="V556" s="9" t="str">
        <x:v>Yes</x:v>
      </x:c>
      <x:c r="W556" s="9" t="str">
        <x:v>486DX2/66, 8 MB RAM, 2x CD-ROM, SVGA; Win 95 &amp; DOS</x:v>
      </x:c>
      <x:c r="X556" s="9" t="str">
        <x:v>Low</x:v>
      </x:c>
      <x:c r="Y556" s="9" t="str"/>
      <x:c r="Z556" s="9" t="str">
        <x:v>10–15 hr</x:v>
      </x:c>
      <x:c r="AA556" s="9" t="str">
        <x:v>A real ex-CIA director and a real ex-KGB general consult on, and act in, a Cold War spy thriller full of photo analysis and wiretaps.</x:v>
      </x:c>
      <x:c r="AB556" s="9" t="str">
        <x:v>None known</x:v>
      </x:c>
      <x:c r="AC556" s="9" t="str">
        <x:v>Live-action briefings and cutscenes; in-game desktop tools — verify res/fps</x:v>
      </x:c>
      <x:c r="AD556" s="9" t="str">
        <x:v>Moderate; deduction puzzles and a few shooting sequences</x:v>
      </x:c>
      <x:c r="AE556" s="9" t="str">
        <x:v>Moral choices change the outcome; multiple endings — verify</x:v>
      </x:c>
      <x:c r="AF556" s="9" t="str">
        <x:v>The game shipped with an in-game 'internet' of emails and spy tools that tie into the plot.</x:v>
      </x:c>
      <x:c r="AG556" s="9" t="str">
        <x:v>3-CD big box</x:v>
      </x:c>
      <x:c r="AH556" s="9" t="str">
        <x:v>Yes (GOG)</x:v>
      </x:c>
      <x:c r="AI556" s="9" t="str">
        <x:v>Emulation only</x:v>
      </x:c>
      <x:c r="AJ556" s="9" t="str">
        <x:v>GOG; original discs in 86Box/PCem</x:v>
      </x:c>
      <x:c r="AK556" s="9" t="str">
        <x:v>MobyGames scores not captured: search results returned no snippets and MobyGames blocks fetches (verify). PriceCharting not fetched: the session's web-fetch budget ran out; re-run price lookup.</x:v>
      </x:c>
      <x:c r="AL556" s="10" t="n">
        <x:v>2</x:v>
      </x:c>
      <x:c r="AM556" s="10" t="n">
        <x:v>10</x:v>
      </x:c>
      <x:c r="AN556" s="10" t="n">
        <x:v>16</x:v>
      </x:c>
      <x:c r="AO556" s="9" t="str">
        <x:v>2026-10-24</x:v>
      </x:c>
      <x:c r="AP556" s="11" t="str">
        <x:f>HYPERLINK("https://www.pricecharting.com/game/pc-games/spycraft-the-great-game","PriceCharting")</x:f>
        <x:v>PriceCharting</x:v>
      </x:c>
      <x:c r="AQ556" s="9" t="n">
        <x:v>5.99</x:v>
      </x:c>
      <x:c r="AR556" s="11" t="str">
        <x:v>Steam</x:v>
      </x:c>
      <x:c r="AS556" s="9" t="str">
        <x:f>HYPERLINK("https://store.steampowered.com/app/569220/","Store")</x:f>
        <x:v>Store</x:v>
      </x:c>
      <x:c r="AT556" s="9" t="str">
        <x:v>2026-10-24</x:v>
      </x:c>
      <x:c r="AU556" s="9"/>
      <x:c r="AV556" s="9"/>
      <x:c r="AW556" s="9"/>
      <x:c r="AX556" s="9"/>
      <x:c r="AY556" s="9" t="str">
        <x:v>77%</x:v>
      </x:c>
      <x:c r="AZ556" s="9" t="str">
        <x:v>3.8</x:v>
      </x:c>
      <x:c r="BA556" s="11" t="str">
        <x:f>HYPERLINK("https://www.mobygames.com/game/dos/spycraft-the-great-game","MobyGames")</x:f>
        <x:v>MobyGames</x:v>
      </x:c>
      <x:c r="BB556" s="9"/>
      <x:c r="BC556" s="9"/>
      <x:c r="BD556" s="9"/>
      <x:c r="BE556" s="11" t="str">
        <x:f>HYPERLINK("https://en.wikipedia.org/wiki/Spycraft:_The_Great_Game","Wikipedia")</x:f>
        <x:v>Wikipedia</x:v>
      </x:c>
      <x:c r="BF556" s="11" t="str">
        <x:f>HYPERLINK("https://backloggd.com/search/games/Spycraft%3A%20The%20Great%20Game/","Backloggd")</x:f>
        <x:v>Backloggd</x:v>
      </x:c>
      <x:c r="BG556" s="9"/>
      <x:c r="BH556" s="9"/>
      <x:c r="BI556" s="12" t="str">
        <x:v>No</x:v>
      </x:c>
      <x:c r="BJ556" s="12" t="str"/>
      <x:c r="BK556" s="12" t="str">
        <x:v>No</x:v>
      </x:c>
      <x:c r="BL556" s="12" t="str"/>
      <x:c r="BM556" s="12" t="str"/>
      <x:c r="BN556" s="12" t="str"/>
      <x:c r="BO556" s="12" t="str"/>
      <x:c r="BP556" s="12" t="str"/>
      <x:c r="BQ556" s="12" t="str"/>
    </x:row>
    <x:row r="557">
      <x:c r="A557" s="9" t="str">
        <x:v>pc-27</x:v>
      </x:c>
      <x:c r="B557" s="9" t="str">
        <x:v>harvester</x:v>
      </x:c>
      <x:c r="C557" s="9" t="str">
        <x:v>PC</x:v>
      </x:c>
      <x:c r="D557" s="9" t="str">
        <x:v>Harvester</x:v>
      </x:c>
      <x:c r="E557" s="9" t="str"/>
      <x:c r="F557" s="9" t="str">
        <x:v>DigiFX Interactive</x:v>
      </x:c>
      <x:c r="G557" s="9" t="str">
        <x:v>Merit Studios (NA); Virgin Interactive (EU)</x:v>
      </x:c>
      <x:c r="H557" s="9" t="n">
        <x:v>1996</x:v>
      </x:c>
      <x:c r="I557" s="9" t="str">
        <x:v>Yes</x:v>
      </x:c>
      <x:c r="J557" s="9" t="str">
        <x:v>No</x:v>
      </x:c>
      <x:c r="K557" s="9" t="str">
        <x:v>Yes</x:v>
      </x:c>
      <x:c r="L557" s="9" t="str">
        <x:v>No</x:v>
      </x:c>
      <x:c r="M557" s="9" t="str">
        <x:v>Horror point-and-click adventure</x:v>
      </x:c>
      <x:c r="N557" s="9" t="str">
        <x:v>Live-action + pre-rendered CG</x:v>
      </x:c>
      <x:c r="O557" s="9" t="n">
        <x:v>5</x:v>
      </x:c>
      <x:c r="P557" s="9" t="str">
        <x:v>FMV adventure</x:v>
      </x:c>
      <x:c r="Q557" s="9" t="str">
        <x:v>Released</x:v>
      </x:c>
      <x:c r="R557" s="9" t="str">
        <x:v>PC original</x:v>
      </x:c>
      <x:c r="S557" s="9" t="str">
        <x:v>—</x:v>
      </x:c>
      <x:c r="T557" s="9" t="str">
        <x:v>Unknown — verify</x:v>
      </x:c>
      <x:c r="U557" s="9" t="n">
        <x:v>3</x:v>
      </x:c>
      <x:c r="V557" s="9" t="str">
        <x:v>Yes</x:v>
      </x:c>
      <x:c r="W557" s="9" t="str">
        <x:v>486DX2/66, 8 MB RAM, 2x CD-ROM, SVGA; DOS</x:v>
      </x:c>
      <x:c r="X557" s="9" t="str">
        <x:v>Low</x:v>
      </x:c>
      <x:c r="Y557" s="9" t="str"/>
      <x:c r="Z557" s="9" t="str">
        <x:v>8–12 hr</x:v>
      </x:c>
      <x:c r="AA557" s="9" t="str">
        <x:v>A 1950s small town turned murder cult, so gory it was banned in several countries.</x:v>
      </x:c>
      <x:c r="AB557" s="9" t="str">
        <x:v>None known</x:v>
      </x:c>
      <x:c r="AC557" s="9" t="str">
        <x:v>Digitized live-action actors over pre-rendered scenes, plus FMV cutscenes — verify res/fps</x:v>
      </x:c>
      <x:c r="AD557" s="9" t="str">
        <x:v>Moderate; awkward combat</x:v>
      </x:c>
      <x:c r="AE557" s="9" t="str">
        <x:v>One ending (with a notorious twist)</x:v>
      </x:c>
      <x:c r="AF557" s="9" t="str">
        <x:v>Refused classification or cut in several territories, including Germany and Australia — verify.</x:v>
      </x:c>
      <x:c r="AG557" s="9" t="str">
        <x:v>3-CD big box</x:v>
      </x:c>
      <x:c r="AH557" s="9" t="str">
        <x:v>Yes (GOG, Steam)</x:v>
      </x:c>
      <x:c r="AI557" s="9" t="str">
        <x:v>Easy</x:v>
      </x:c>
      <x:c r="AJ557" s="9" t="str">
        <x:v>GOG/Steam</x:v>
      </x:c>
      <x:c r="AK557" s="9" t="str">
        <x:v>MobyGames scores not captured: search results returned no snippets and MobyGames blocks fetches (verify). PriceCharting not fetched: the session's web-fetch budget ran out; re-run price lookup.</x:v>
      </x:c>
      <x:c r="AL557" s="10" t="n">
        <x:v>29.12</x:v>
      </x:c>
      <x:c r="AM557" s="10" t="n">
        <x:v>47.33</x:v>
      </x:c>
      <x:c r="AN557" s="10" t="n">
        <x:v>325</x:v>
      </x:c>
      <x:c r="AO557" s="9" t="str">
        <x:v>2026-10-24</x:v>
      </x:c>
      <x:c r="AP557" s="11" t="str">
        <x:f>HYPERLINK("https://www.pricecharting.com/game/pc-games/harvester","PriceCharting")</x:f>
        <x:v>PriceCharting</x:v>
      </x:c>
      <x:c r="AQ557" s="9" t="n">
        <x:v>1.79</x:v>
      </x:c>
      <x:c r="AR557" s="11" t="str">
        <x:v>GOG</x:v>
      </x:c>
      <x:c r="AS557" s="9" t="str">
        <x:f>HYPERLINK("https://www.gog.com/en/game/harvester","Store")</x:f>
        <x:v>Store</x:v>
      </x:c>
      <x:c r="AT557" s="9" t="str">
        <x:v>2026-10-24</x:v>
      </x:c>
      <x:c r="AU557" s="9"/>
      <x:c r="AV557" s="9"/>
      <x:c r="AW557" s="9"/>
      <x:c r="AX557" s="9"/>
      <x:c r="AY557" s="9"/>
      <x:c r="AZ557" s="9"/>
      <x:c r="BA557" s="11" t="str">
        <x:f>HYPERLINK("https://www.mobygames.com/search/?q=Harvester","MobyGames")</x:f>
        <x:v>MobyGames</x:v>
      </x:c>
      <x:c r="BB557" s="9" t="str">
        <x:v>48%</x:v>
      </x:c>
      <x:c r="BC557" s="9" t="str">
        <x:v>GameRankings, 5 reviews</x:v>
      </x:c>
      <x:c r="BD557" s="9" t="str">
        <x:f>HYPERLINK("https://web.archive.org/web/20191209015400id_/https://www.gamerankings.com/pc/197529-harvester/","Source")</x:f>
        <x:v>Source</x:v>
      </x:c>
      <x:c r="BE557" s="11" t="str">
        <x:f>HYPERLINK("https://en.wikipedia.org/wiki/Harvester_(video_game)","Wikipedia")</x:f>
        <x:v>Wikipedia</x:v>
      </x:c>
      <x:c r="BF557" s="11" t="str">
        <x:f>HYPERLINK("https://backloggd.com/search/games/Harvester/","Backloggd")</x:f>
        <x:v>Backloggd</x:v>
      </x:c>
      <x:c r="BG557" s="9"/>
      <x:c r="BH557" s="9"/>
      <x:c r="BI557" s="12" t="str">
        <x:v>No</x:v>
      </x:c>
      <x:c r="BJ557" s="12" t="str"/>
      <x:c r="BK557" s="12" t="str">
        <x:v>No</x:v>
      </x:c>
      <x:c r="BL557" s="12" t="str"/>
      <x:c r="BM557" s="12" t="str"/>
      <x:c r="BN557" s="12" t="str"/>
      <x:c r="BO557" s="12" t="str"/>
      <x:c r="BP557" s="12" t="str"/>
      <x:c r="BQ557" s="12" t="str"/>
    </x:row>
    <x:row r="558">
      <x:c r="A558" s="9" t="str">
        <x:v>pc-28</x:v>
      </x:c>
      <x:c r="B558" s="9" t="str">
        <x:v>realms-of-the-haunting</x:v>
      </x:c>
      <x:c r="C558" s="9" t="str">
        <x:v>PC</x:v>
      </x:c>
      <x:c r="D558" s="9" t="str">
        <x:v>Realms of the Haunting</x:v>
      </x:c>
      <x:c r="E558" s="9" t="str"/>
      <x:c r="F558" s="9" t="str">
        <x:v>Gremlin Interactive</x:v>
      </x:c>
      <x:c r="G558" s="9" t="str">
        <x:v>Gremlin Interactive (EU); Interplay (NA)</x:v>
      </x:c>
      <x:c r="H558" s="9" t="n">
        <x:v>1997</x:v>
      </x:c>
      <x:c r="I558" s="9" t="str">
        <x:v>Yes</x:v>
      </x:c>
      <x:c r="J558" s="9" t="str">
        <x:v>No</x:v>
      </x:c>
      <x:c r="K558" s="9" t="str">
        <x:v>Yes</x:v>
      </x:c>
      <x:c r="L558" s="9" t="str">
        <x:v>No</x:v>
      </x:c>
      <x:c r="M558" s="9" t="str">
        <x:v>First-person horror adventure</x:v>
      </x:c>
      <x:c r="N558" s="9" t="str">
        <x:v>Live-action + CG</x:v>
      </x:c>
      <x:c r="O558" s="9" t="n">
        <x:v>4</x:v>
      </x:c>
      <x:c r="P558" s="9" t="str">
        <x:v>FMV adventure</x:v>
      </x:c>
      <x:c r="Q558" s="9" t="str">
        <x:v>Released</x:v>
      </x:c>
      <x:c r="R558" s="9" t="str">
        <x:v>PC original</x:v>
      </x:c>
      <x:c r="S558" s="9" t="str">
        <x:v>—</x:v>
      </x:c>
      <x:c r="T558" s="9" t="str">
        <x:v>Unknown — verify</x:v>
      </x:c>
      <x:c r="U558" s="9" t="n">
        <x:v>4</x:v>
      </x:c>
      <x:c r="V558" s="9" t="str">
        <x:v>Yes</x:v>
      </x:c>
      <x:c r="W558" s="9" t="str">
        <x:v>Pentium 90, 16 MB RAM, 2x CD-ROM, SVGA; DOS</x:v>
      </x:c>
      <x:c r="X558" s="9" t="str">
        <x:v>Low</x:v>
      </x:c>
      <x:c r="Y558" s="9" t="str"/>
      <x:c r="Z558" s="9" t="str">
        <x:v>20–30 hr</x:v>
      </x:c>
      <x:c r="AA558" s="9" t="str">
        <x:v>A Doom-engine-style FPS adventure stitched together by hours of live-action haunted-house cutscenes.</x:v>
      </x:c>
      <x:c r="AB558" s="9" t="str">
        <x:v>None known</x:v>
      </x:c>
      <x:c r="AC558" s="9" t="str">
        <x:v>Live-action FMV cutscenes between 3D sections — verify res/fps</x:v>
      </x:c>
      <x:c r="AD558" s="9" t="str">
        <x:v>Moderate combat and puzzles</x:v>
      </x:c>
      <x:c r="AE558" s="9" t="str">
        <x:v>One ending</x:v>
      </x:c>
      <x:c r="AF558" s="9" t="str">
        <x:v>Its FMV was shot with live actors and used for story delivery across four discs.</x:v>
      </x:c>
      <x:c r="AG558" s="9" t="str">
        <x:v>4-CD big box</x:v>
      </x:c>
      <x:c r="AH558" s="9" t="str">
        <x:v>Yes (GOG, Steam)</x:v>
      </x:c>
      <x:c r="AI558" s="9" t="str">
        <x:v>Easy</x:v>
      </x:c>
      <x:c r="AJ558" s="9" t="str">
        <x:v>GOG/Steam</x:v>
      </x:c>
      <x:c r="AK558" s="9" t="str">
        <x:v>MobyGames scores not captured: search results returned no snippets and MobyGames blocks fetches (verify). PriceCharting not fetched: the session's web-fetch budget ran out; re-run price lookup.</x:v>
      </x:c>
      <x:c r="AL558" s="10"/>
      <x:c r="AM558" s="10"/>
      <x:c r="AN558" s="10"/>
      <x:c r="AO558" s="9"/>
      <x:c r="AP558" s="11" t="str">
        <x:f>HYPERLINK("https://www.pricecharting.com/search-products?q=Realms+of+the+Haunting+pc+games&amp;type=prices","PriceCharting")</x:f>
        <x:v>PriceCharting</x:v>
      </x:c>
      <x:c r="AQ558" s="9" t="n">
        <x:v>1.49</x:v>
      </x:c>
      <x:c r="AR558" s="11" t="str">
        <x:v>GOG</x:v>
      </x:c>
      <x:c r="AS558" s="9" t="str">
        <x:f>HYPERLINK("https://www.gog.com/en/game/realms_of_the_haunting","Store")</x:f>
        <x:v>Store</x:v>
      </x:c>
      <x:c r="AT558" s="9" t="str">
        <x:v>2026-10-24</x:v>
      </x:c>
      <x:c r="AU558" s="9"/>
      <x:c r="AV558" s="9"/>
      <x:c r="AW558" s="9"/>
      <x:c r="AX558" s="9"/>
      <x:c r="AY558" s="9" t="str">
        <x:v>83%</x:v>
      </x:c>
      <x:c r="AZ558" s="9" t="str">
        <x:v>3.9</x:v>
      </x:c>
      <x:c r="BA558" s="11" t="str">
        <x:f>HYPERLINK("https://www.mobygames.com/game/dos/realms-of-the-haunting","MobyGames")</x:f>
        <x:v>MobyGames</x:v>
      </x:c>
      <x:c r="BB558" s="9"/>
      <x:c r="BC558" s="9"/>
      <x:c r="BD558" s="9"/>
      <x:c r="BE558" s="11" t="str">
        <x:f>HYPERLINK("https://en.wikipedia.org/wiki/Realms_of_the_Haunting","Wikipedia")</x:f>
        <x:v>Wikipedia</x:v>
      </x:c>
      <x:c r="BF558" s="11" t="str">
        <x:f>HYPERLINK("https://backloggd.com/search/games/Realms%20of%20the%20Haunting/","Backloggd")</x:f>
        <x:v>Backloggd</x:v>
      </x:c>
      <x:c r="BG558" s="9"/>
      <x:c r="BH558" s="9"/>
      <x:c r="BI558" s="12" t="str">
        <x:v>No</x:v>
      </x:c>
      <x:c r="BJ558" s="12" t="str"/>
      <x:c r="BK558" s="12" t="str">
        <x:v>No</x:v>
      </x:c>
      <x:c r="BL558" s="12" t="str"/>
      <x:c r="BM558" s="12" t="str"/>
      <x:c r="BN558" s="12" t="str"/>
      <x:c r="BO558" s="12" t="str"/>
      <x:c r="BP558" s="12" t="str"/>
      <x:c r="BQ558" s="12" t="str"/>
    </x:row>
    <x:row r="559">
      <x:c r="A559" s="9" t="str">
        <x:v>pc-29</x:v>
      </x:c>
      <x:c r="B559" s="9" t="str">
        <x:v>toonstruck</x:v>
      </x:c>
      <x:c r="C559" s="9" t="str">
        <x:v>PC</x:v>
      </x:c>
      <x:c r="D559" s="9" t="str">
        <x:v>Toonstruck</x:v>
      </x:c>
      <x:c r="E559" s="9" t="str"/>
      <x:c r="F559" s="9" t="str">
        <x:v>Burst Studios</x:v>
      </x:c>
      <x:c r="G559" s="9" t="str">
        <x:v>Virgin Interactive</x:v>
      </x:c>
      <x:c r="H559" s="9" t="n">
        <x:v>1996</x:v>
      </x:c>
      <x:c r="I559" s="9" t="str">
        <x:v>Yes</x:v>
      </x:c>
      <x:c r="J559" s="9" t="str">
        <x:v>No</x:v>
      </x:c>
      <x:c r="K559" s="9" t="str">
        <x:v>Yes</x:v>
      </x:c>
      <x:c r="L559" s="9" t="str">
        <x:v>No</x:v>
      </x:c>
      <x:c r="M559" s="9" t="str">
        <x:v>Point-and-click adventure</x:v>
      </x:c>
      <x:c r="N559" s="9" t="str">
        <x:v>Live-action + CG</x:v>
      </x:c>
      <x:c r="O559" s="9" t="n">
        <x:v>4</x:v>
      </x:c>
      <x:c r="P559" s="9" t="str">
        <x:v>FMV adventure</x:v>
      </x:c>
      <x:c r="Q559" s="9" t="str">
        <x:v>Released</x:v>
      </x:c>
      <x:c r="R559" s="9" t="str">
        <x:v>PC original</x:v>
      </x:c>
      <x:c r="S559" s="9" t="str">
        <x:v>—</x:v>
      </x:c>
      <x:c r="T559" s="9" t="str">
        <x:v>Christopher Lloyd (Drew Blanc); voices of Dan Castellaneta, Tim Curry, Dom DeLuise, David Ogden Stiers</x:v>
      </x:c>
      <x:c r="U559" s="9" t="n">
        <x:v>2</x:v>
      </x:c>
      <x:c r="V559" s="9" t="str">
        <x:v>Yes</x:v>
      </x:c>
      <x:c r="W559" s="9" t="str">
        <x:v>486DX2/66, 8 MB RAM, 2x CD-ROM, SVGA; DOS &amp; Win 95</x:v>
      </x:c>
      <x:c r="X559" s="9" t="str">
        <x:v>Low</x:v>
      </x:c>
      <x:c r="Y559" s="9" t="str"/>
      <x:c r="Z559" s="9" t="str">
        <x:v>10–15 hr</x:v>
      </x:c>
      <x:c r="AA559" s="9" t="str">
        <x:v>Christopher Lloyd is a live-action cartoonist trapped inside his own hand-drawn cartoon world.</x:v>
      </x:c>
      <x:c r="AB559" s="9" t="str">
        <x:v>None known</x:v>
      </x:c>
      <x:c r="AC559" s="9" t="str">
        <x:v>Filmed Christopher Lloyd composited into hand-drawn animation, 640x480 SVGA — verify fps</x:v>
      </x:c>
      <x:c r="AD559" s="9" t="str">
        <x:v>Hard, zany puzzle logic</x:v>
      </x:c>
      <x:c r="AE559" s="9" t="str">
        <x:v>One ending (cliffhanger; planned sequel cancelled)</x:v>
      </x:c>
      <x:c r="AF559" s="9" t="str">
        <x:v>Planned as two games; the second half was cut and never released.</x:v>
      </x:c>
      <x:c r="AG559" s="9" t="str">
        <x:v>2-CD big box</x:v>
      </x:c>
      <x:c r="AH559" s="9" t="str">
        <x:v>Yes (GOG, Steam)</x:v>
      </x:c>
      <x:c r="AI559" s="9" t="str">
        <x:v>Easy</x:v>
      </x:c>
      <x:c r="AJ559" s="9" t="str">
        <x:v>GOG/Steam</x:v>
      </x:c>
      <x:c r="AK559" s="9" t="str">
        <x:v>MobyGames scores not captured: search results returned no snippets and MobyGames blocks fetches (verify). PriceCharting not fetched: the session's web-fetch budget ran out; re-run price lookup.</x:v>
      </x:c>
      <x:c r="AL559" s="10" t="n">
        <x:v>9.63</x:v>
      </x:c>
      <x:c r="AM559" s="10" t="n">
        <x:v>43.12</x:v>
      </x:c>
      <x:c r="AN559" s="10" t="n">
        <x:v>75.95</x:v>
      </x:c>
      <x:c r="AO559" s="9" t="str">
        <x:v>2026-10-24</x:v>
      </x:c>
      <x:c r="AP559" s="11" t="str">
        <x:f>HYPERLINK("https://www.pricecharting.com/game/pc-games/toonstruck","PriceCharting")</x:f>
        <x:v>PriceCharting</x:v>
      </x:c>
      <x:c r="AQ559" s="9" t="n">
        <x:v>19.99</x:v>
      </x:c>
      <x:c r="AR559" s="11" t="str">
        <x:v>Steam</x:v>
      </x:c>
      <x:c r="AS559" s="9" t="str">
        <x:f>HYPERLINK("https://store.steampowered.com/app/369830/","Store")</x:f>
        <x:v>Store</x:v>
      </x:c>
      <x:c r="AT559" s="9" t="str">
        <x:v>2026-10-24</x:v>
      </x:c>
      <x:c r="AU559" s="9"/>
      <x:c r="AV559" s="9"/>
      <x:c r="AW559" s="9"/>
      <x:c r="AX559" s="9"/>
      <x:c r="AY559" s="9"/>
      <x:c r="AZ559" s="9"/>
      <x:c r="BA559" s="11" t="str">
        <x:f>HYPERLINK("https://www.mobygames.com/search/?q=Toonstruck","MobyGames")</x:f>
        <x:v>MobyGames</x:v>
      </x:c>
      <x:c r="BB559" s="9" t="str">
        <x:v>75%</x:v>
      </x:c>
      <x:c r="BC559" s="9" t="str">
        <x:v>GameRankings, 7 reviews</x:v>
      </x:c>
      <x:c r="BD559" s="9" t="str">
        <x:f>HYPERLINK("https://web.archive.org/web/20191209015310id_/https://www.gamerankings.com/pc/199065-toonstruck/","Source")</x:f>
        <x:v>Source</x:v>
      </x:c>
      <x:c r="BE559" s="11" t="str">
        <x:f>HYPERLINK("https://en.wikipedia.org/wiki/Toonstruck","Wikipedia")</x:f>
        <x:v>Wikipedia</x:v>
      </x:c>
      <x:c r="BF559" s="11" t="str">
        <x:f>HYPERLINK("https://backloggd.com/search/games/Toonstruck/","Backloggd")</x:f>
        <x:v>Backloggd</x:v>
      </x:c>
      <x:c r="BG559" s="9"/>
      <x:c r="BH559" s="9"/>
      <x:c r="BI559" s="12" t="str">
        <x:v>No</x:v>
      </x:c>
      <x:c r="BJ559" s="12" t="str"/>
      <x:c r="BK559" s="12" t="str">
        <x:v>No</x:v>
      </x:c>
      <x:c r="BL559" s="12" t="str"/>
      <x:c r="BM559" s="12" t="str"/>
      <x:c r="BN559" s="12" t="str"/>
      <x:c r="BO559" s="12" t="str"/>
      <x:c r="BP559" s="12" t="str"/>
      <x:c r="BQ559" s="12" t="str"/>
    </x:row>
    <x:row r="560">
      <x:c r="A560" s="9" t="str">
        <x:v>pc-30</x:v>
      </x:c>
      <x:c r="B560" s="9" t="str">
        <x:v>bad-mojo</x:v>
      </x:c>
      <x:c r="C560" s="9" t="str">
        <x:v>PC</x:v>
      </x:c>
      <x:c r="D560" s="9" t="str">
        <x:v>Bad Mojo</x:v>
      </x:c>
      <x:c r="E560" s="9" t="str"/>
      <x:c r="F560" s="9" t="str">
        <x:v>Pulse Entertainment</x:v>
      </x:c>
      <x:c r="G560" s="9" t="str">
        <x:v>Acclaim Entertainment</x:v>
      </x:c>
      <x:c r="H560" s="9" t="n">
        <x:v>1996</x:v>
      </x:c>
      <x:c r="I560" s="9" t="str">
        <x:v>Yes</x:v>
      </x:c>
      <x:c r="J560" s="9" t="str">
        <x:v>No</x:v>
      </x:c>
      <x:c r="K560" s="9" t="str">
        <x:v>Yes</x:v>
      </x:c>
      <x:c r="L560" s="9" t="str">
        <x:v>No</x:v>
      </x:c>
      <x:c r="M560" s="9" t="str">
        <x:v>Adventure</x:v>
      </x:c>
      <x:c r="N560" s="9" t="str">
        <x:v>Live-action + pre-rendered CG</x:v>
      </x:c>
      <x:c r="O560" s="9" t="n">
        <x:v>5</x:v>
      </x:c>
      <x:c r="P560" s="9" t="str">
        <x:v>FMV adventure</x:v>
      </x:c>
      <x:c r="Q560" s="9" t="str">
        <x:v>Released</x:v>
      </x:c>
      <x:c r="R560" s="9" t="str">
        <x:v>PC original</x:v>
      </x:c>
      <x:c r="S560" s="9" t="str">
        <x:v>Mac</x:v>
      </x:c>
      <x:c r="T560" s="9" t="str">
        <x:v>Unknown — verify</x:v>
      </x:c>
      <x:c r="U560" s="9" t="n">
        <x:v>1</x:v>
      </x:c>
      <x:c r="V560" s="9" t="str">
        <x:v>Yes</x:v>
      </x:c>
      <x:c r="W560" s="9" t="str">
        <x:v>486DX2/66, 8 MB RAM, 2x CD-ROM; Win 95 &amp; Mac</x:v>
      </x:c>
      <x:c r="X560" s="9" t="str">
        <x:v>Low</x:v>
      </x:c>
      <x:c r="Y560" s="9" t="str"/>
      <x:c r="Z560" s="9" t="str">
        <x:v>3–5 hr</x:v>
      </x:c>
      <x:c r="AA560" s="9" t="str">
        <x:v>You are an entomologist turned into a cockroach, crawling through a filthy flat while live-action ghosts reveal your past.</x:v>
      </x:c>
      <x:c r="AB560" s="9" t="str">
        <x:v>None known</x:v>
      </x:c>
      <x:c r="AC560" s="9" t="str">
        <x:v>Live-action FMV cutscenes over photographed sets — verify res/fps</x:v>
      </x:c>
      <x:c r="AD560" s="9" t="str">
        <x:v>Moderate</x:v>
      </x:c>
      <x:c r="AE560" s="9" t="str">
        <x:v>One ending — verify</x:v>
      </x:c>
      <x:c r="AF560" s="9" t="str">
        <x:v>Remastered as Bad Mojo Redux in 2004.</x:v>
      </x:c>
      <x:c r="AG560" s="9" t="str">
        <x:v>Original 1996 release; Redux (2004)</x:v>
      </x:c>
      <x:c r="AH560" s="9" t="str">
        <x:v>Yes (GOG, Steam — Redux)</x:v>
      </x:c>
      <x:c r="AI560" s="9" t="str">
        <x:v>Easy</x:v>
      </x:c>
      <x:c r="AJ560" s="9" t="str">
        <x:v>GOG/Steam (Bad Mojo Redux)</x:v>
      </x:c>
      <x:c r="AK560" s="9" t="str">
        <x:v>Disc count verify. MobyGames scores not captured: search results returned no snippets and MobyGames blocks fetches (verify). PriceCharting not fetched: the session's web-fetch budget ran out; re-run price lookup.</x:v>
      </x:c>
      <x:c r="AL560" s="10" t="n">
        <x:v>8.97</x:v>
      </x:c>
      <x:c r="AM560" s="10" t="n">
        <x:v>73.56</x:v>
      </x:c>
      <x:c r="AN560" s="10" t="n">
        <x:v>98.16</x:v>
      </x:c>
      <x:c r="AO560" s="9" t="str">
        <x:v>2026-10-24</x:v>
      </x:c>
      <x:c r="AP560" s="11" t="str">
        <x:f>HYPERLINK("https://www.pricecharting.com/game/pc-games/bad-mojo","PriceCharting")</x:f>
        <x:v>PriceCharting</x:v>
      </x:c>
      <x:c r="AQ560" s="9" t="n">
        <x:v>5.99</x:v>
      </x:c>
      <x:c r="AR560" s="11" t="str">
        <x:v>Steam</x:v>
      </x:c>
      <x:c r="AS560" s="9" t="str">
        <x:f>HYPERLINK("https://store.steampowered.com/app/255960/","Store")</x:f>
        <x:v>Store</x:v>
      </x:c>
      <x:c r="AT560" s="9" t="str">
        <x:v>2026-10-25</x:v>
      </x:c>
      <x:c r="AU560" s="9"/>
      <x:c r="AV560" s="9"/>
      <x:c r="AW560" s="9"/>
      <x:c r="AX560" s="9"/>
      <x:c r="AY560" s="9"/>
      <x:c r="AZ560" s="9"/>
      <x:c r="BA560" s="11" t="str">
        <x:f>HYPERLINK("https://www.mobygames.com/search/?q=Bad+Mojo","MobyGames")</x:f>
        <x:v>MobyGames</x:v>
      </x:c>
      <x:c r="BB560" s="9" t="str">
        <x:v>71%</x:v>
      </x:c>
      <x:c r="BC560" s="9" t="str">
        <x:v>GameRankings, 8 reviews</x:v>
      </x:c>
      <x:c r="BD560" s="9" t="str">
        <x:f>HYPERLINK("https://web.archive.org/web/20191209014643id_/https://www.gamerankings.com/pc/196680-bad-mojo/","Source")</x:f>
        <x:v>Source</x:v>
      </x:c>
      <x:c r="BE560" s="11" t="str">
        <x:f>HYPERLINK("https://en.wikipedia.org/wiki/Bad_Mojo","Wikipedia")</x:f>
        <x:v>Wikipedia</x:v>
      </x:c>
      <x:c r="BF560" s="11" t="str">
        <x:f>HYPERLINK("https://backloggd.com/search/games/Bad%20Mojo/","Backloggd")</x:f>
        <x:v>Backloggd</x:v>
      </x:c>
      <x:c r="BG560" s="9"/>
      <x:c r="BH560" s="9"/>
      <x:c r="BI560" s="12" t="str">
        <x:v>No</x:v>
      </x:c>
      <x:c r="BJ560" s="12" t="str"/>
      <x:c r="BK560" s="12" t="str">
        <x:v>No</x:v>
      </x:c>
      <x:c r="BL560" s="12" t="str"/>
      <x:c r="BM560" s="12" t="str"/>
      <x:c r="BN560" s="12" t="str"/>
      <x:c r="BO560" s="12" t="str"/>
      <x:c r="BP560" s="12" t="str"/>
      <x:c r="BQ560" s="12" t="str"/>
    </x:row>
    <x:row r="561">
      <x:c r="A561" s="9" t="str">
        <x:v>pc-31</x:v>
      </x:c>
      <x:c r="B561" s="9" t="str">
        <x:v>the-dame-was-loaded</x:v>
      </x:c>
      <x:c r="C561" s="9" t="str">
        <x:v>PC</x:v>
      </x:c>
      <x:c r="D561" s="9" t="str">
        <x:v>The Dame Was Loaded</x:v>
      </x:c>
      <x:c r="E561" s="9" t="str"/>
      <x:c r="F561" s="9" t="str">
        <x:v>Beam Software</x:v>
      </x:c>
      <x:c r="G561" s="9" t="str">
        <x:v>Philips Media</x:v>
      </x:c>
      <x:c r="H561" s="9" t="n">
        <x:v>1996</x:v>
      </x:c>
      <x:c r="I561" s="9" t="str">
        <x:v>Yes</x:v>
      </x:c>
      <x:c r="J561" s="9" t="str">
        <x:v>No</x:v>
      </x:c>
      <x:c r="K561" s="9" t="str">
        <x:v>Yes</x:v>
      </x:c>
      <x:c r="L561" s="9" t="str">
        <x:v>No</x:v>
      </x:c>
      <x:c r="M561" s="9" t="str">
        <x:v>Noir FMV adventure</x:v>
      </x:c>
      <x:c r="N561" s="9" t="str">
        <x:v>Live-action</x:v>
      </x:c>
      <x:c r="O561" s="9" t="n">
        <x:v>8</x:v>
      </x:c>
      <x:c r="P561" s="9" t="str">
        <x:v>FMV adventure</x:v>
      </x:c>
      <x:c r="Q561" s="9" t="str">
        <x:v>Released</x:v>
      </x:c>
      <x:c r="R561" s="9" t="str">
        <x:v>PC original</x:v>
      </x:c>
      <x:c r="S561" s="9" t="str">
        <x:v>Mac</x:v>
      </x:c>
      <x:c r="T561" s="9" t="str">
        <x:v>Unknown — verify</x:v>
      </x:c>
      <x:c r="U561" s="9" t="n">
        <x:v>4</x:v>
      </x:c>
      <x:c r="V561" s="9" t="str">
        <x:v>Yes</x:v>
      </x:c>
      <x:c r="W561" s="9" t="str">
        <x:v>486DX2/66, 8 MB RAM, 2x CD-ROM, SVGA; DOS &amp; Win 95</x:v>
      </x:c>
      <x:c r="X561" s="9" t="str">
        <x:v>Low</x:v>
      </x:c>
      <x:c r="Y561" s="9" t="str"/>
      <x:c r="Z561" s="9" t="str">
        <x:v>5–8 hr</x:v>
      </x:c>
      <x:c r="AA561" s="9" t="str">
        <x:v>A 1940s hardboiled private eye story, shot as a full live-action noir by the Australian studio behind The Hobbit.</x:v>
      </x:c>
      <x:c r="AB561" s="9" t="str">
        <x:v>None known</x:v>
      </x:c>
      <x:c r="AC561" s="9" t="str">
        <x:v>Live-action video in noir sets — verify res/fps</x:v>
      </x:c>
      <x:c r="AD561" s="9" t="str">
        <x:v>Moderate; open-ended investigation with time limit — verify</x:v>
      </x:c>
      <x:c r="AE561" s="9" t="str">
        <x:v>Multiple endings — verify</x:v>
      </x:c>
      <x:c r="AF561" s="9" t="str">
        <x:v>Beam Software (later Melbourne House) produced it in Australia.</x:v>
      </x:c>
      <x:c r="AG561" s="9" t="str">
        <x:v>4-CD release — verify</x:v>
      </x:c>
      <x:c r="AH561" s="9" t="str">
        <x:v>Yes (GOG)</x:v>
      </x:c>
      <x:c r="AI561" s="9" t="str">
        <x:v>Easy</x:v>
      </x:c>
      <x:c r="AJ561" s="9" t="str">
        <x:v>GOG</x:v>
      </x:c>
      <x:c r="AK561" s="9" t="str">
        <x:v>Disc count verify. MobyGames scores not captured: search results returned no snippets and MobyGames blocks fetches (verify). PriceCharting not fetched: the session's web-fetch budget ran out; re-run price lookup.</x:v>
      </x:c>
      <x:c r="AL561" s="10"/>
      <x:c r="AM561" s="10"/>
      <x:c r="AN561" s="10"/>
      <x:c r="AO561" s="9"/>
      <x:c r="AP561" s="11" t="str">
        <x:f>HYPERLINK("https://www.pricecharting.com/search-products?q=The+Dame+Was+Loaded+pc+games&amp;type=prices","PriceCharting")</x:f>
        <x:v>PriceCharting</x:v>
      </x:c>
      <x:c r="AQ561" s="9" t="n">
        <x:v>6.99</x:v>
      </x:c>
      <x:c r="AR561" s="11" t="str">
        <x:v>Steam</x:v>
      </x:c>
      <x:c r="AS561" s="9" t="str">
        <x:f>HYPERLINK("https://store.steampowered.com/app/1006440/","Store")</x:f>
        <x:v>Store</x:v>
      </x:c>
      <x:c r="AT561" s="9" t="str">
        <x:v>2026-10-24</x:v>
      </x:c>
      <x:c r="AU561" s="9"/>
      <x:c r="AV561" s="9"/>
      <x:c r="AW561" s="9"/>
      <x:c r="AX561" s="9"/>
      <x:c r="AY561" s="9" t="str">
        <x:v>58%</x:v>
      </x:c>
      <x:c r="AZ561" s="9" t="str">
        <x:v>3.5</x:v>
      </x:c>
      <x:c r="BA561" s="11" t="str">
        <x:f>HYPERLINK("https://www.mobygames.com/game/dos/dame-was-loaded","MobyGames")</x:f>
        <x:v>MobyGames</x:v>
      </x:c>
      <x:c r="BB561" s="9"/>
      <x:c r="BC561" s="9"/>
      <x:c r="BD561" s="9"/>
      <x:c r="BE561" s="11" t="str">
        <x:f>HYPERLINK("https://en.wikipedia.org/wiki/The_Dame_Was_Loaded","Wikipedia")</x:f>
        <x:v>Wikipedia</x:v>
      </x:c>
      <x:c r="BF561" s="11" t="str">
        <x:f>HYPERLINK("https://backloggd.com/search/games/The%20Dame%20Was%20Loaded/","Backloggd")</x:f>
        <x:v>Backloggd</x:v>
      </x:c>
      <x:c r="BG561" s="9"/>
      <x:c r="BH561" s="9"/>
      <x:c r="BI561" s="12" t="str">
        <x:v>No</x:v>
      </x:c>
      <x:c r="BJ561" s="12" t="str"/>
      <x:c r="BK561" s="12" t="str">
        <x:v>No</x:v>
      </x:c>
      <x:c r="BL561" s="12" t="str"/>
      <x:c r="BM561" s="12" t="str"/>
      <x:c r="BN561" s="12" t="str"/>
      <x:c r="BO561" s="12" t="str"/>
      <x:c r="BP561" s="12" t="str"/>
      <x:c r="BQ561" s="12" t="str"/>
    </x:row>
    <x:row r="562">
      <x:c r="A562" s="9" t="str">
        <x:v>pc-32</x:v>
      </x:c>
      <x:c r="B562" s="9" t="str">
        <x:v>tender-loving-care</x:v>
      </x:c>
      <x:c r="C562" s="9" t="str">
        <x:v>PC</x:v>
      </x:c>
      <x:c r="D562" s="9" t="str">
        <x:v>Tender Loving Care</x:v>
      </x:c>
      <x:c r="E562" s="9" t="str">
        <x:v>TLC</x:v>
      </x:c>
      <x:c r="F562" s="9" t="str">
        <x:v>Aftermath Media (Trilobyte)</x:v>
      </x:c>
      <x:c r="G562" s="9" t="str">
        <x:v>Aftermath Media (US distributor); Blue Swan Entertainment</x:v>
      </x:c>
      <x:c r="H562" s="9" t="n">
        <x:v>1998</x:v>
      </x:c>
      <x:c r="I562" s="9" t="str">
        <x:v>Yes</x:v>
      </x:c>
      <x:c r="J562" s="9" t="str">
        <x:v>No</x:v>
      </x:c>
      <x:c r="K562" s="9" t="str">
        <x:v>No</x:v>
      </x:c>
      <x:c r="L562" s="9" t="str">
        <x:v>No</x:v>
      </x:c>
      <x:c r="M562" s="9" t="str">
        <x:v>Interactive movie / psychological drama</x:v>
      </x:c>
      <x:c r="N562" s="9" t="str">
        <x:v>Live-action</x:v>
      </x:c>
      <x:c r="O562" s="9" t="n">
        <x:v>9</x:v>
      </x:c>
      <x:c r="P562" s="9" t="str">
        <x:v>Interactive movie</x:v>
      </x:c>
      <x:c r="Q562" s="9" t="str">
        <x:v>Released</x:v>
      </x:c>
      <x:c r="R562" s="9" t="str">
        <x:v>PC original (Rob Landeros, co-founder of Trilobyte)</x:v>
      </x:c>
      <x:c r="S562" s="9" t="str">
        <x:v>DVD-Video</x:v>
      </x:c>
      <x:c r="T562" s="9" t="str">
        <x:v>John Hurt (Dr. Turner), Michael Esposito, Beth Tegarden, Marie Caldare</x:v>
      </x:c>
      <x:c r="U562" s="9" t="n">
        <x:v>4</x:v>
      </x:c>
      <x:c r="V562" s="9" t="str">
        <x:v>Yes</x:v>
      </x:c>
      <x:c r="W562" s="9" t="str">
        <x:v>Pentium 133, 16 MB RAM, 4x CD-ROM; Win 95; DVD-ROM edition</x:v>
      </x:c>
      <x:c r="X562" s="9" t="str">
        <x:v>Low</x:v>
      </x:c>
      <x:c r="Y562" s="9" t="str"/>
      <x:c r="Z562" s="9" t="str">
        <x:v>2–3 hr</x:v>
      </x:c>
      <x:c r="AA562" s="9" t="str">
        <x:v>John Hurt narrates a psychological drama that profiles you with questionnaires between scenes, steering a nurse's affair.</x:v>
      </x:c>
      <x:c r="AB562" s="9" t="str">
        <x:v>None known</x:v>
      </x:c>
      <x:c r="AC562" s="9" t="str">
        <x:v>Full-screen live-action video; DVD edition — verify res/fps</x:v>
      </x:c>
      <x:c r="AD562" s="9" t="str">
        <x:v>No challenge; personality-quiz choices</x:v>
      </x:c>
      <x:c r="AE562" s="9" t="str">
        <x:v>Several endings based on your answers — verify</x:v>
      </x:c>
      <x:c r="AF562" s="9" t="str">
        <x:v>Begun as a Trilobyte project before Landeros left; released on DVD and PC by his Aftermath Media.</x:v>
      </x:c>
      <x:c r="AG562" s="9" t="str">
        <x:v>PC CD; DVD-Video and DVD-ROM editions</x:v>
      </x:c>
      <x:c r="AH562" s="9" t="str">
        <x:v>Yes (Steam)</x:v>
      </x:c>
      <x:c r="AI562" s="9" t="str">
        <x:v>Easy</x:v>
      </x:c>
      <x:c r="AJ562" s="9" t="str">
        <x:v>Steam</x:v>
      </x:c>
      <x:c r="AK562" s="9" t="str">
        <x:v>Publisher and disc count verify. MobyGames scores not captured: search results returned no snippets and MobyGames blocks fetches (verify). PriceCharting not fetched: the session's web-fetch budget ran out; re-run price lookup.</x:v>
      </x:c>
      <x:c r="AL562" s="10"/>
      <x:c r="AM562" s="10"/>
      <x:c r="AN562" s="10"/>
      <x:c r="AO562" s="9"/>
      <x:c r="AP562" s="11" t="str">
        <x:f>HYPERLINK("https://www.pricecharting.com/search-products?q=Tender+Loving+Care+pc+games&amp;type=prices","PriceCharting")</x:f>
        <x:v>PriceCharting</x:v>
      </x:c>
      <x:c r="AQ562" s="9" t="n">
        <x:v>5.99</x:v>
      </x:c>
      <x:c r="AR562" s="11" t="str">
        <x:v>Steam</x:v>
      </x:c>
      <x:c r="AS562" s="9" t="str">
        <x:f>HYPERLINK("https://store.steampowered.com/app/593900/","Store")</x:f>
        <x:v>Store</x:v>
      </x:c>
      <x:c r="AT562" s="9" t="str">
        <x:v>2026-10-24</x:v>
      </x:c>
      <x:c r="AU562" s="9"/>
      <x:c r="AV562" s="9"/>
      <x:c r="AW562" s="9"/>
      <x:c r="AX562" s="9"/>
      <x:c r="AY562" s="9" t="str">
        <x:v>68%</x:v>
      </x:c>
      <x:c r="AZ562" s="9" t="str">
        <x:v>3.2</x:v>
      </x:c>
      <x:c r="BA562" s="11" t="str">
        <x:f>HYPERLINK("https://www.mobygames.com/game/windows/tender-loving-care","MobyGames")</x:f>
        <x:v>MobyGames</x:v>
      </x:c>
      <x:c r="BB562" s="9"/>
      <x:c r="BC562" s="9"/>
      <x:c r="BD562" s="9"/>
      <x:c r="BE562" s="11" t="str">
        <x:f>HYPERLINK("https://en.wikipedia.org/wiki/Tender_Loving_Care_(video_game)","Wikipedia")</x:f>
        <x:v>Wikipedia</x:v>
      </x:c>
      <x:c r="BF562" s="11" t="str">
        <x:f>HYPERLINK("https://backloggd.com/search/games/Tender%20Loving%20Care/","Backloggd")</x:f>
        <x:v>Backloggd</x:v>
      </x:c>
      <x:c r="BG562" s="9"/>
      <x:c r="BH562" s="9"/>
      <x:c r="BI562" s="12" t="str">
        <x:v>No</x:v>
      </x:c>
      <x:c r="BJ562" s="12" t="str"/>
      <x:c r="BK562" s="12" t="str">
        <x:v>No</x:v>
      </x:c>
      <x:c r="BL562" s="12" t="str"/>
      <x:c r="BM562" s="12" t="str"/>
      <x:c r="BN562" s="12" t="str"/>
      <x:c r="BO562" s="12" t="str"/>
      <x:c r="BP562" s="12" t="str"/>
      <x:c r="BQ562" s="12" t="str"/>
    </x:row>
    <x:row r="563">
      <x:c r="A563" s="9" t="str">
        <x:v>pc-33</x:v>
      </x:c>
      <x:c r="B563" s="9" t="str">
        <x:v>night-trap</x:v>
      </x:c>
      <x:c r="C563" s="9" t="str">
        <x:v>PC</x:v>
      </x:c>
      <x:c r="D563" s="9" t="str">
        <x:v>Night Trap</x:v>
      </x:c>
      <x:c r="E563" s="9" t="str"/>
      <x:c r="F563" s="9" t="str">
        <x:v>Digital Pictures</x:v>
      </x:c>
      <x:c r="G563" s="9" t="str">
        <x:v>Digital Pictures (NA)</x:v>
      </x:c>
      <x:c r="H563" s="9" t="n">
        <x:v>1995</x:v>
      </x:c>
      <x:c r="I563" s="9" t="str">
        <x:v>Yes</x:v>
      </x:c>
      <x:c r="J563" s="9" t="str">
        <x:v>No</x:v>
      </x:c>
      <x:c r="K563" s="9" t="str">
        <x:v>No</x:v>
      </x:c>
      <x:c r="L563" s="9" t="str">
        <x:v>No</x:v>
      </x:c>
      <x:c r="M563" s="9" t="str">
        <x:v>Interactive movie / surveillance</x:v>
      </x:c>
      <x:c r="N563" s="9" t="str">
        <x:v>Live-action</x:v>
      </x:c>
      <x:c r="O563" s="9" t="n">
        <x:v>10</x:v>
      </x:c>
      <x:c r="P563" s="9" t="str">
        <x:v>Digital Pictures</x:v>
      </x:c>
      <x:c r="Q563" s="9" t="str">
        <x:v>Released</x:v>
      </x:c>
      <x:c r="R563" s="9" t="str">
        <x:v>Original; shot 1987 for Hasbro's NEMO/Control-Vision console</x:v>
      </x:c>
      <x:c r="S563" s="9" t="str">
        <x:v>Sega CD, 32X CD, 3DO, Mac; 25th Anniversary Edition (PS4, Xbox One, Switch, Steam, 2017-18)</x:v>
      </x:c>
      <x:c r="T563" s="9" t="str">
        <x:v>Dana Plato (Kelli), Andras Jones (Jeff), Christy Ford, Debra Parks</x:v>
      </x:c>
      <x:c r="U563" s="9" t="n">
        <x:v>2</x:v>
      </x:c>
      <x:c r="V563" s="9" t="str">
        <x:v>No</x:v>
      </x:c>
      <x:c r="W563" s="9" t="str">
        <x:v>486DX/33 (verify), 8 MB RAM, 2x CD-ROM, SVGA; DOS &amp; Windows 3.1/95 (verify)</x:v>
      </x:c>
      <x:c r="X563" s="9" t="str">
        <x:v>Low–Med</x:v>
      </x:c>
      <x:c r="Y563" s="9" t="str">
        <x:v>Theme song (Sunny Blaze)</x:v>
      </x:c>
      <x:c r="Z563" s="9" t="str">
        <x:v>30 min per run; 1–2 hr to beat</x:v>
      </x:c>
      <x:c r="AA563" s="9" t="str">
        <x:v>The game that got Congress involved, on the platform where its video finally looked like more than a postage stamp.</x:v>
      </x:c>
      <x:c r="AB563" s="9" t="str">
        <x:v>None confirmed for the PC disc; 25th Anniversary Edition adds a Theatre mode</x:v>
      </x:c>
      <x:c r="AC563" s="9" t="str">
        <x:v>Larger window and more colours than Sega CD (verify exact resolution/fps)</x:v>
      </x:c>
      <x:c r="AD563" s="9" t="str">
        <x:v>Medium — memorising a trap timing schedule</x:v>
      </x:c>
      <x:c r="AE563" s="9" t="str">
        <x:v>One true ending plus several game-over sequences</x:v>
      </x:c>
      <x:c r="AF563" s="9" t="str">
        <x:v>Shot in 1987 for Hasbro's cancelled VHS-based console; the PC release came after the 1993 Senate hearings had made it notorious.</x:v>
      </x:c>
      <x:c r="AG563" s="9" t="str">
        <x:v>Big-box CD-ROM; DOS/Windows hybrid (verify); 25th Anniversary Edition on Steam is a separate later release</x:v>
      </x:c>
      <x:c r="AH563" s="9" t="str">
        <x:v>Yes (Steam — 25th Anniversary Edition)</x:v>
      </x:c>
      <x:c r="AI563" s="9" t="str">
        <x:v>Easy</x:v>
      </x:c>
      <x:c r="AJ563" s="9" t="str">
        <x:v>Steam (Night Trap: 25th Anniversary Edition); original discs in DOSBox</x:v>
      </x:c>
      <x:c r="AK563" s="9" t="str">
        <x:v>Disc count on PC (verify).</x:v>
      </x:c>
      <x:c r="AL563" s="10" t="n">
        <x:v>14.52</x:v>
      </x:c>
      <x:c r="AM563" s="10" t="n">
        <x:v>66.17</x:v>
      </x:c>
      <x:c r="AN563" s="10" t="n">
        <x:v>44.99</x:v>
      </x:c>
      <x:c r="AO563" s="9" t="str">
        <x:v>2026-10-24</x:v>
      </x:c>
      <x:c r="AP563" s="11" t="str">
        <x:f>HYPERLINK("https://www.pricecharting.com/game/pc-games/night-trap","PriceCharting")</x:f>
        <x:v>PriceCharting</x:v>
      </x:c>
      <x:c r="AQ563" s="9" t="n">
        <x:v>14.99</x:v>
      </x:c>
      <x:c r="AR563" s="11" t="str">
        <x:v>Steam</x:v>
      </x:c>
      <x:c r="AS563" s="9" t="str">
        <x:f>HYPERLINK("https://store.steampowered.com/app/643620/","Store")</x:f>
        <x:v>Store</x:v>
      </x:c>
      <x:c r="AT563" s="9" t="str">
        <x:v>2026-10-25</x:v>
      </x:c>
      <x:c r="AU563" s="9"/>
      <x:c r="AV563" s="9"/>
      <x:c r="AW563" s="9"/>
      <x:c r="AX563" s="9"/>
      <x:c r="AY563" s="9"/>
      <x:c r="AZ563" s="9" t="str">
        <x:v>3.0</x:v>
      </x:c>
      <x:c r="BA563" s="11" t="str">
        <x:f>HYPERLINK("https://www.mobygames.com/game/dos/night-trap","MobyGames")</x:f>
        <x:v>MobyGames</x:v>
      </x:c>
      <x:c r="BB563" s="9"/>
      <x:c r="BC563" s="9"/>
      <x:c r="BD563" s="9"/>
      <x:c r="BE563" s="11" t="str">
        <x:f>HYPERLINK("https://en.wikipedia.org/wiki/Night_Trap","Wikipedia")</x:f>
        <x:v>Wikipedia</x:v>
      </x:c>
      <x:c r="BF563" s="11" t="str">
        <x:f>HYPERLINK("https://backloggd.com/search/games/Night%20Trap/","Backloggd")</x:f>
        <x:v>Backloggd</x:v>
      </x:c>
      <x:c r="BG563" s="9"/>
      <x:c r="BH563" s="9"/>
      <x:c r="BI563" s="12" t="str">
        <x:v>No</x:v>
      </x:c>
      <x:c r="BJ563" s="12" t="str"/>
      <x:c r="BK563" s="12" t="str">
        <x:v>No</x:v>
      </x:c>
      <x:c r="BL563" s="12" t="str"/>
      <x:c r="BM563" s="12" t="str"/>
      <x:c r="BN563" s="12" t="str"/>
      <x:c r="BO563" s="12" t="str"/>
      <x:c r="BP563" s="12" t="str"/>
      <x:c r="BQ563" s="12" t="str"/>
    </x:row>
    <x:row r="564">
      <x:c r="A564" s="9" t="str">
        <x:v>pc-34</x:v>
      </x:c>
      <x:c r="B564" s="9" t="str">
        <x:v>double-switch</x:v>
      </x:c>
      <x:c r="C564" s="9" t="str">
        <x:v>PC</x:v>
      </x:c>
      <x:c r="D564" s="9" t="str">
        <x:v>Double Switch</x:v>
      </x:c>
      <x:c r="E564" s="9" t="str"/>
      <x:c r="F564" s="9" t="str">
        <x:v>Digital Pictures</x:v>
      </x:c>
      <x:c r="G564" s="9" t="str">
        <x:v>Digital Pictures (NA)</x:v>
      </x:c>
      <x:c r="H564" s="9" t="n">
        <x:v>1995</x:v>
      </x:c>
      <x:c r="I564" s="9" t="str">
        <x:v>Yes</x:v>
      </x:c>
      <x:c r="J564" s="9" t="str">
        <x:v>No</x:v>
      </x:c>
      <x:c r="K564" s="9" t="str">
        <x:v>No</x:v>
      </x:c>
      <x:c r="L564" s="9" t="str">
        <x:v>No</x:v>
      </x:c>
      <x:c r="M564" s="9" t="str">
        <x:v>Interactive movie / surveillance</x:v>
      </x:c>
      <x:c r="N564" s="9" t="str">
        <x:v>Live-action</x:v>
      </x:c>
      <x:c r="O564" s="9" t="n">
        <x:v>10</x:v>
      </x:c>
      <x:c r="P564" s="9" t="str">
        <x:v>Digital Pictures</x:v>
      </x:c>
      <x:c r="Q564" s="9" t="str">
        <x:v>Released</x:v>
      </x:c>
      <x:c r="R564" s="9" t="str">
        <x:v>Original production</x:v>
      </x:c>
      <x:c r="S564" s="9" t="str">
        <x:v>Sega CD, Saturn (JP), Mac; 25th Anniversary Edition (PS4, Switch, Steam, 2019)</x:v>
      </x:c>
      <x:c r="T564" s="9" t="str">
        <x:v>Corey Haim (Eddie), Deborah Harry (Elizabeth), R. Lee Ermey (Lyle), Camille Cooper</x:v>
      </x:c>
      <x:c r="U564" s="9" t="n">
        <x:v>2</x:v>
      </x:c>
      <x:c r="V564" s="9" t="str">
        <x:v>No</x:v>
      </x:c>
      <x:c r="W564" s="9" t="str">
        <x:v>486DX/33 (verify), 8 MB RAM, 2x CD-ROM, SVGA; DOS &amp; Windows 3.1/95 (verify)</x:v>
      </x:c>
      <x:c r="X564" s="9" t="str">
        <x:v>Low</x:v>
      </x:c>
      <x:c r="Y564" s="9" t="str"/>
      <x:c r="Z564" s="9" t="str">
        <x:v>45–90 min</x:v>
      </x:c>
      <x:c r="AA564" s="9" t="str">
        <x:v>Night Trap's follow-up: Corey Haim trapped in a basement, Debbie Harry as the landlady, and you on the security cameras.</x:v>
      </x:c>
      <x:c r="AB564" s="9" t="str">
        <x:v>Act-skip code reported (verify)</x:v>
      </x:c>
      <x:c r="AC564" s="9" t="str">
        <x:v>Unknown — verify</x:v>
      </x:c>
      <x:c r="AD564" s="9" t="str">
        <x:v>Medium — three acts; act 3 timing is tight</x:v>
      </x:c>
      <x:c r="AE564" s="9" t="str">
        <x:v>Several failure endings; one success</x:v>
      </x:c>
      <x:c r="AF564" s="9" t="str">
        <x:v>Directed by Mary Lambert (Pet Sematary).</x:v>
      </x:c>
      <x:c r="AG564" s="9" t="str">
        <x:v>Big-box CD-ROM (verify disc count)</x:v>
      </x:c>
      <x:c r="AH564" s="9" t="str">
        <x:v>Yes (Steam — 25th Anniversary Edition)</x:v>
      </x:c>
      <x:c r="AI564" s="9" t="str">
        <x:v>Easy</x:v>
      </x:c>
      <x:c r="AJ564" s="9" t="str">
        <x:v>Steam (Double Switch: 25th Anniversary Edition); original discs in DOSBox or 86Box</x:v>
      </x:c>
      <x:c r="AK564" s="9" t="str">
        <x:v>Windows version confirmed by a MobyGames Windows review page.</x:v>
      </x:c>
      <x:c r="AL564" s="10"/>
      <x:c r="AM564" s="10" t="n">
        <x:v>9.99</x:v>
      </x:c>
      <x:c r="AN564" s="10" t="n">
        <x:v>51.24</x:v>
      </x:c>
      <x:c r="AO564" s="9" t="str">
        <x:v>2026-10-24</x:v>
      </x:c>
      <x:c r="AP564" s="11" t="str">
        <x:f>HYPERLINK("https://www.pricecharting.com/game/pc-games/double-switch","PriceCharting")</x:f>
        <x:v>PriceCharting</x:v>
      </x:c>
      <x:c r="AQ564" s="9" t="n">
        <x:v>14.99</x:v>
      </x:c>
      <x:c r="AR564" s="11" t="str">
        <x:v>Steam</x:v>
      </x:c>
      <x:c r="AS564" s="9" t="str">
        <x:f>HYPERLINK("https://store.steampowered.com/app/878290/","Store")</x:f>
        <x:v>Store</x:v>
      </x:c>
      <x:c r="AT564" s="9" t="str">
        <x:v>2026-10-25</x:v>
      </x:c>
      <x:c r="AU564" s="9"/>
      <x:c r="AV564" s="9"/>
      <x:c r="AW564" s="9"/>
      <x:c r="AX564" s="9"/>
      <x:c r="AY564" s="9"/>
      <x:c r="AZ564" s="9" t="str">
        <x:v>3.0</x:v>
      </x:c>
      <x:c r="BA564" s="11" t="str">
        <x:f>HYPERLINK("https://www.mobygames.com/game/windows/double-switch","MobyGames")</x:f>
        <x:v>MobyGames</x:v>
      </x:c>
      <x:c r="BB564" s="9"/>
      <x:c r="BC564" s="9"/>
      <x:c r="BD564" s="9"/>
      <x:c r="BE564" s="11" t="str">
        <x:f>HYPERLINK("https://en.wikipedia.org/wiki/Double_Switch","Wikipedia")</x:f>
        <x:v>Wikipedia</x:v>
      </x:c>
      <x:c r="BF564" s="11" t="str">
        <x:f>HYPERLINK("https://backloggd.com/search/games/Double%20Switch/","Backloggd")</x:f>
        <x:v>Backloggd</x:v>
      </x:c>
      <x:c r="BG564" s="9"/>
      <x:c r="BH564" s="9"/>
      <x:c r="BI564" s="12" t="str">
        <x:v>No</x:v>
      </x:c>
      <x:c r="BJ564" s="12" t="str"/>
      <x:c r="BK564" s="12" t="str">
        <x:v>No</x:v>
      </x:c>
      <x:c r="BL564" s="12" t="str"/>
      <x:c r="BM564" s="12" t="str"/>
      <x:c r="BN564" s="12" t="str"/>
      <x:c r="BO564" s="12" t="str"/>
      <x:c r="BP564" s="12" t="str"/>
      <x:c r="BQ564" s="12" t="str"/>
    </x:row>
    <x:row r="565">
      <x:c r="A565" s="9" t="str">
        <x:v>pc-35</x:v>
      </x:c>
      <x:c r="B565" s="9" t="str">
        <x:v>corpse-killer</x:v>
      </x:c>
      <x:c r="C565" s="9" t="str">
        <x:v>PC</x:v>
      </x:c>
      <x:c r="D565" s="9" t="str">
        <x:v>Corpse Killer</x:v>
      </x:c>
      <x:c r="E565" s="9" t="str"/>
      <x:c r="F565" s="9" t="str">
        <x:v>Digital Pictures</x:v>
      </x:c>
      <x:c r="G565" s="9" t="str">
        <x:v>Digital Pictures (NA)</x:v>
      </x:c>
      <x:c r="H565" s="9" t="n">
        <x:v>1995</x:v>
      </x:c>
      <x:c r="I565" s="9" t="str">
        <x:v>Yes</x:v>
      </x:c>
      <x:c r="J565" s="9" t="str">
        <x:v>No</x:v>
      </x:c>
      <x:c r="K565" s="9" t="str">
        <x:v>No</x:v>
      </x:c>
      <x:c r="L565" s="9" t="str">
        <x:v>No</x:v>
      </x:c>
      <x:c r="M565" s="9" t="str">
        <x:v>Rail shooter</x:v>
      </x:c>
      <x:c r="N565" s="9" t="str">
        <x:v>Live-action</x:v>
      </x:c>
      <x:c r="O565" s="9" t="n">
        <x:v>10</x:v>
      </x:c>
      <x:c r="P565" s="9" t="str">
        <x:v>Digital Pictures</x:v>
      </x:c>
      <x:c r="Q565" s="9" t="str">
        <x:v>Released</x:v>
      </x:c>
      <x:c r="R565" s="9" t="str">
        <x:v>Original production</x:v>
      </x:c>
      <x:c r="S565" s="9" t="str">
        <x:v>Sega CD, 32X CD, 3DO, Saturn (Graveyard Edition), Mac; 25th Anniversary Edition (PS4, Switch, Steam, 2019)</x:v>
      </x:c>
      <x:c r="T565" s="9" t="str">
        <x:v>Vincent Schiavelli (Dr. Hellman), Jeremiah Birkett (Winston), Bridget Butler (Julie)</x:v>
      </x:c>
      <x:c r="U565" s="9" t="n">
        <x:v>1</x:v>
      </x:c>
      <x:c r="V565" s="9" t="str">
        <x:v>No</x:v>
      </x:c>
      <x:c r="W565" s="9" t="str">
        <x:v>486DX/33 (verify), 8 MB RAM, 2x CD-ROM, SVGA; DOS &amp; Windows 3.1/95 (verify); mouse aims</x:v>
      </x:c>
      <x:c r="X565" s="9" t="str">
        <x:v>Low</x:v>
      </x:c>
      <x:c r="Y565" s="9" t="str"/>
      <x:c r="Z565" s="9" t="str">
        <x:v>1–2 hr</x:v>
      </x:c>
      <x:c r="AA565" s="9" t="str">
        <x:v>Vincent Schiavelli's zombie-island shooter with a Rastafarian sidekick, on PC with mouse aiming.</x:v>
      </x:c>
      <x:c r="AB565" s="9" t="str">
        <x:v>Level select / infinite ammo codes reported for console versions (verify for PC)</x:v>
      </x:c>
      <x:c r="AC565" s="9" t="str">
        <x:v>Unknown — verify</x:v>
      </x:c>
      <x:c r="AD565" s="9" t="str">
        <x:v>Medium — zombies are slow; bosses are health-sponges</x:v>
      </x:c>
      <x:c r="AE565" s="9" t="str">
        <x:v>Single ending; game over if the infection meter fills</x:v>
      </x:c>
      <x:c r="AF565" s="9" t="str">
        <x:v>Shot in Puerto Rico; the Saturn 'Graveyard Edition' and PC versions came after the Sega CD original.</x:v>
      </x:c>
      <x:c r="AG565" s="9" t="str">
        <x:v>Unknown — verify</x:v>
      </x:c>
      <x:c r="AH565" s="9" t="str">
        <x:v>Yes (Steam — 25th Anniversary Edition)</x:v>
      </x:c>
      <x:c r="AI565" s="9" t="str">
        <x:v>Easy</x:v>
      </x:c>
      <x:c r="AJ565" s="9" t="str">
        <x:v>Steam (Corpse Killer: 25th Anniversary Edition); original discs in DOSBox</x:v>
      </x:c>
      <x:c r="AK565" s="9" t="str">
        <x:v>1990s PC release rests on My Abandonware and MobyGames Mac credits listings plus existing records' alsoOn (verify year, publisher and disc count). PriceCharting has no PC Games page at the obvious slug (redirected to search).</x:v>
      </x:c>
      <x:c r="AL565" s="10"/>
      <x:c r="AM565" s="10"/>
      <x:c r="AN565" s="10"/>
      <x:c r="AO565" s="9"/>
      <x:c r="AP565" s="11" t="str">
        <x:f>HYPERLINK("https://www.pricecharting.com/search-products?q=Corpse+Killer+pc+games&amp;type=prices","PriceCharting")</x:f>
        <x:v>PriceCharting</x:v>
      </x:c>
      <x:c r="AQ565" s="9" t="n">
        <x:v>14.99</x:v>
      </x:c>
      <x:c r="AR565" s="11" t="str">
        <x:v>Steam</x:v>
      </x:c>
      <x:c r="AS565" s="9" t="str">
        <x:f>HYPERLINK("https://store.steampowered.com/app/1087700/","Store")</x:f>
        <x:v>Store</x:v>
      </x:c>
      <x:c r="AT565" s="9" t="str">
        <x:v>2026-10-25</x:v>
      </x:c>
      <x:c r="AU565" s="9"/>
      <x:c r="AV565" s="9"/>
      <x:c r="AW565" s="9"/>
      <x:c r="AX565" s="9"/>
      <x:c r="AY565" s="9"/>
      <x:c r="AZ565" s="9"/>
      <x:c r="BA565" s="11" t="str">
        <x:f>HYPERLINK("https://www.mobygames.com/game/8180/corpse-killer/","MobyGames")</x:f>
        <x:v>MobyGames</x:v>
      </x:c>
      <x:c r="BB565" s="9"/>
      <x:c r="BC565" s="9"/>
      <x:c r="BD565" s="9"/>
      <x:c r="BE565" s="11" t="str">
        <x:f>HYPERLINK("https://en.wikipedia.org/wiki/Corpse_Killer","Wikipedia")</x:f>
        <x:v>Wikipedia</x:v>
      </x:c>
      <x:c r="BF565" s="11" t="str">
        <x:f>HYPERLINK("https://backloggd.com/search/games/Corpse%20Killer/","Backloggd")</x:f>
        <x:v>Backloggd</x:v>
      </x:c>
      <x:c r="BG565" s="9"/>
      <x:c r="BH565" s="9"/>
      <x:c r="BI565" s="12" t="str">
        <x:v>No</x:v>
      </x:c>
      <x:c r="BJ565" s="12" t="str"/>
      <x:c r="BK565" s="12" t="str">
        <x:v>No</x:v>
      </x:c>
      <x:c r="BL565" s="12" t="str"/>
      <x:c r="BM565" s="12" t="str"/>
      <x:c r="BN565" s="12" t="str"/>
      <x:c r="BO565" s="12" t="str"/>
      <x:c r="BP565" s="12" t="str"/>
      <x:c r="BQ565" s="12" t="str"/>
    </x:row>
    <x:row r="566">
      <x:c r="A566" s="9" t="str">
        <x:v>pc-36</x:v>
      </x:c>
      <x:c r="B566" s="9" t="str">
        <x:v>supreme-warrior</x:v>
      </x:c>
      <x:c r="C566" s="9" t="str">
        <x:v>PC</x:v>
      </x:c>
      <x:c r="D566" s="9" t="str">
        <x:v>Supreme Warrior</x:v>
      </x:c>
      <x:c r="E566" s="9" t="str"/>
      <x:c r="F566" s="9" t="str">
        <x:v>Digital Pictures</x:v>
      </x:c>
      <x:c r="G566" s="9" t="str">
        <x:v>Digital Pictures</x:v>
      </x:c>
      <x:c r="H566" s="9" t="n">
        <x:v>1995</x:v>
      </x:c>
      <x:c r="I566" s="9" t="str">
        <x:v>Yes</x:v>
      </x:c>
      <x:c r="J566" s="9" t="str">
        <x:v>No</x:v>
      </x:c>
      <x:c r="K566" s="9" t="str">
        <x:v>No</x:v>
      </x:c>
      <x:c r="L566" s="9" t="str">
        <x:v>No</x:v>
      </x:c>
      <x:c r="M566" s="9" t="str">
        <x:v>Fighting</x:v>
      </x:c>
      <x:c r="N566" s="9" t="str">
        <x:v>Live-action</x:v>
      </x:c>
      <x:c r="O566" s="9" t="n">
        <x:v>10</x:v>
      </x:c>
      <x:c r="P566" s="9" t="str">
        <x:v>Digital Pictures</x:v>
      </x:c>
      <x:c r="Q566" s="9" t="str">
        <x:v>Released</x:v>
      </x:c>
      <x:c r="R566" s="9" t="str">
        <x:v>Original production (filmed in Hong Kong)</x:v>
      </x:c>
      <x:c r="S566" s="9" t="str">
        <x:v>Sega CD, 32X CD, 3DO</x:v>
      </x:c>
      <x:c r="T566" s="9" t="str">
        <x:v>Vivian Wu (Wu Ching), Roger Yuan (Fang Tu), Richard Norton, Chuck Jeffreys</x:v>
      </x:c>
      <x:c r="U566" s="9" t="n">
        <x:v>2</x:v>
      </x:c>
      <x:c r="V566" s="9" t="str">
        <x:v>No</x:v>
      </x:c>
      <x:c r="W566" s="9" t="str">
        <x:v>486DX/33 (verify), 8 MB RAM, 2x CD-ROM, SVGA; DOS &amp; Windows 3.1/95 (verify)</x:v>
      </x:c>
      <x:c r="X566" s="9" t="str">
        <x:v>Low</x:v>
      </x:c>
      <x:c r="Y566" s="9" t="str"/>
      <x:c r="Z566" s="9" t="str">
        <x:v>1–2 hr</x:v>
      </x:c>
      <x:c r="AA566" s="9" t="str">
        <x:v>A first-person Hong Kong kung-fu movie you block and punch your way through.</x:v>
      </x:c>
      <x:c r="AB566" s="9" t="str">
        <x:v>None known</x:v>
      </x:c>
      <x:c r="AC566" s="9" t="str">
        <x:v>Unknown — verify</x:v>
      </x:c>
      <x:c r="AD566" s="9" t="str">
        <x:v>Hard — unforgiving blocking windows</x:v>
      </x:c>
      <x:c r="AE566" s="9" t="str">
        <x:v>Single ending after beating the masters</x:v>
      </x:c>
      <x:c r="AF566" s="9" t="str">
        <x:v>Produced in Hong Kong with local stunt teams; English dub for the US release.</x:v>
      </x:c>
      <x:c r="AG566" s="9" t="str">
        <x:v>Unknown — verify</x:v>
      </x:c>
      <x:c r="AH566" s="9" t="str">
        <x:v>No</x:v>
      </x:c>
      <x:c r="AI566" s="9" t="str">
        <x:v>Easy</x:v>
      </x:c>
      <x:c r="AJ566" s="9" t="str">
        <x:v>Original discs in DOSBox</x:v>
      </x:c>
      <x:c r="AK566" s="9" t="str">
        <x:v>DOS version confirmed by a MobyGames DOS page; year and publisher (verify); disc count (verify). PriceCharting has no PC Games page at the obvious slug (redirected to search).</x:v>
      </x:c>
      <x:c r="AL566" s="10"/>
      <x:c r="AM566" s="10"/>
      <x:c r="AN566" s="10"/>
      <x:c r="AO566" s="9"/>
      <x:c r="AP566" s="11" t="str">
        <x:f>HYPERLINK("https://www.pricecharting.com/search-products?q=Supreme+Warrior+pc+games&amp;type=prices","PriceCharting")</x:f>
        <x:v>PriceCharting</x:v>
      </x:c>
      <x:c r="AQ566" s="9"/>
      <x:c r="AR566" s="9"/>
      <x:c r="AS566" s="9"/>
      <x:c r="AT566" s="9"/>
      <x:c r="AU566" s="9" t="str">
        <x:v>No market</x:v>
      </x:c>
      <x:c r="AV566" s="9" t="str">
        <x:v>Not sold on Steam or GOG (checked 2026-10-25) and no PriceCharting listing.</x:v>
      </x:c>
      <x:c r="AW566" s="9"/>
      <x:c r="AX566" s="9"/>
      <x:c r="AY566" s="9"/>
      <x:c r="AZ566" s="9"/>
      <x:c r="BA566" s="11" t="str">
        <x:f>HYPERLINK("https://mobygames.com/game/dos/supreme-warrior","MobyGames")</x:f>
        <x:v>MobyGames</x:v>
      </x:c>
      <x:c r="BB566" s="9"/>
      <x:c r="BC566" s="9"/>
      <x:c r="BD566" s="9"/>
      <x:c r="BE566" s="11" t="str">
        <x:f>HYPERLINK("https://en.wikipedia.org/wiki/Supreme_Warrior","Wikipedia")</x:f>
        <x:v>Wikipedia</x:v>
      </x:c>
      <x:c r="BF566" s="11" t="str">
        <x:f>HYPERLINK("https://backloggd.com/search/games/Supreme%20Warrior/","Backloggd")</x:f>
        <x:v>Backloggd</x:v>
      </x:c>
      <x:c r="BG566" s="9"/>
      <x:c r="BH566" s="9"/>
      <x:c r="BI566" s="12" t="str">
        <x:v>No</x:v>
      </x:c>
      <x:c r="BJ566" s="12" t="str"/>
      <x:c r="BK566" s="12" t="str">
        <x:v>No</x:v>
      </x:c>
      <x:c r="BL566" s="12" t="str"/>
      <x:c r="BM566" s="12" t="str"/>
      <x:c r="BN566" s="12" t="str"/>
      <x:c r="BO566" s="12" t="str"/>
      <x:c r="BP566" s="12" t="str"/>
      <x:c r="BQ566" s="12" t="str"/>
    </x:row>
    <x:row r="567">
      <x:c r="A567" s="9" t="str">
        <x:v>pc-37</x:v>
      </x:c>
      <x:c r="B567" s="9" t="str">
        <x:v>slam-city-with-scottie-pippen</x:v>
      </x:c>
      <x:c r="C567" s="9" t="str">
        <x:v>PC</x:v>
      </x:c>
      <x:c r="D567" s="9" t="str">
        <x:v>Slam City with Scottie Pippen</x:v>
      </x:c>
      <x:c r="E567" s="9" t="str"/>
      <x:c r="F567" s="9" t="str">
        <x:v>Digital Pictures</x:v>
      </x:c>
      <x:c r="G567" s="9" t="str">
        <x:v>Digital Pictures (NA)</x:v>
      </x:c>
      <x:c r="H567" s="9" t="n">
        <x:v>1995</x:v>
      </x:c>
      <x:c r="I567" s="9" t="str">
        <x:v>Yes</x:v>
      </x:c>
      <x:c r="J567" s="9" t="str">
        <x:v>No</x:v>
      </x:c>
      <x:c r="K567" s="9" t="str">
        <x:v>No</x:v>
      </x:c>
      <x:c r="L567" s="9" t="str">
        <x:v>No</x:v>
      </x:c>
      <x:c r="M567" s="9" t="str">
        <x:v>Basketball (one-on-one)</x:v>
      </x:c>
      <x:c r="N567" s="9" t="str">
        <x:v>Live-action</x:v>
      </x:c>
      <x:c r="O567" s="9" t="n">
        <x:v>10</x:v>
      </x:c>
      <x:c r="P567" s="9" t="str">
        <x:v>Digital Pictures</x:v>
      </x:c>
      <x:c r="Q567" s="9" t="str">
        <x:v>Released</x:v>
      </x:c>
      <x:c r="R567" s="9" t="str">
        <x:v>Original production</x:v>
      </x:c>
      <x:c r="S567" s="9" t="str">
        <x:v>Sega CD, 32X CD</x:v>
      </x:c>
      <x:c r="T567" s="9" t="str">
        <x:v>Scottie Pippen</x:v>
      </x:c>
      <x:c r="U567" s="9" t="n">
        <x:v>4</x:v>
      </x:c>
      <x:c r="V567" s="9" t="str">
        <x:v>No</x:v>
      </x:c>
      <x:c r="W567" s="9" t="str">
        <x:v>486DX/33 (verify), 8 MB RAM, 2x CD-ROM, SVGA; DOS &amp; Windows 3.1/95 (verify)</x:v>
      </x:c>
      <x:c r="X567" s="9" t="str">
        <x:v>Low</x:v>
      </x:c>
      <x:c r="Y567" s="9" t="str"/>
      <x:c r="Z567" s="9" t="str">
        <x:v>1–2 hr</x:v>
      </x:c>
      <x:c r="AA567" s="9" t="str">
        <x:v>Streetball FMV with Scottie Pippen that needs four discs to get you to him.</x:v>
      </x:c>
      <x:c r="AB567" s="9" t="str">
        <x:v>Opponent-skip code reported for Sega CD (verify)</x:v>
      </x:c>
      <x:c r="AC567" s="9" t="str">
        <x:v>Unknown — verify</x:v>
      </x:c>
      <x:c r="AD567" s="9" t="str">
        <x:v>Medium — reading the opponent's moves</x:v>
      </x:c>
      <x:c r="AE567" s="9" t="str">
        <x:v>Beat four street players then Pippen; single ending</x:v>
      </x:c>
      <x:c r="AF567" s="9" t="str">
        <x:v>One opponent per disc on Sega CD; Pippen appears only at the end.</x:v>
      </x:c>
      <x:c r="AG567" s="9" t="str">
        <x:v>Unknown — verify</x:v>
      </x:c>
      <x:c r="AH567" s="9" t="str">
        <x:v>No</x:v>
      </x:c>
      <x:c r="AI567" s="9" t="str">
        <x:v>Easy</x:v>
      </x:c>
      <x:c r="AJ567" s="9" t="str">
        <x:v>Original discs in DOSBox</x:v>
      </x:c>
      <x:c r="AK567" s="9" t="str">
        <x:v>PC disc count assumed equal to Sega CD's four (verify).</x:v>
      </x:c>
      <x:c r="AL567" s="10" t="n">
        <x:v>16</x:v>
      </x:c>
      <x:c r="AM567" s="10" t="n">
        <x:v>18</x:v>
      </x:c>
      <x:c r="AN567" s="10" t="n">
        <x:v>36</x:v>
      </x:c>
      <x:c r="AO567" s="9" t="str">
        <x:v>2026-10-24</x:v>
      </x:c>
      <x:c r="AP567" s="11" t="str">
        <x:f>HYPERLINK("https://www.pricecharting.com/game/pc-games/slam-city-with-scottie-pippen","PriceCharting")</x:f>
        <x:v>PriceCharting</x:v>
      </x:c>
      <x:c r="AQ567" s="9"/>
      <x:c r="AR567" s="9"/>
      <x:c r="AS567" s="9"/>
      <x:c r="AT567" s="9"/>
      <x:c r="AU567" s="9"/>
      <x:c r="AV567" s="9"/>
      <x:c r="AW567" s="9"/>
      <x:c r="AX567" s="9"/>
      <x:c r="AY567" s="9" t="str">
        <x:v>41%</x:v>
      </x:c>
      <x:c r="AZ567" s="9"/>
      <x:c r="BA567" s="11" t="str">
        <x:f>HYPERLINK("https://www.mobygames.com/game/dos/slam-city-with-scottie-pippen","MobyGames")</x:f>
        <x:v>MobyGames</x:v>
      </x:c>
      <x:c r="BB567" s="9"/>
      <x:c r="BC567" s="9"/>
      <x:c r="BD567" s="9"/>
      <x:c r="BE567" s="11" t="str">
        <x:f>HYPERLINK("https://en.wikipedia.org/wiki/Slam_City_with_Scottie_Pippen","Wikipedia")</x:f>
        <x:v>Wikipedia</x:v>
      </x:c>
      <x:c r="BF567" s="11" t="str">
        <x:f>HYPERLINK("https://backloggd.com/search/games/Slam%20City%20with%20Scottie%20Pippen/","Backloggd")</x:f>
        <x:v>Backloggd</x:v>
      </x:c>
      <x:c r="BG567" s="9"/>
      <x:c r="BH567" s="9"/>
      <x:c r="BI567" s="12" t="str">
        <x:v>No</x:v>
      </x:c>
      <x:c r="BJ567" s="12" t="str"/>
      <x:c r="BK567" s="12" t="str">
        <x:v>No</x:v>
      </x:c>
      <x:c r="BL567" s="12" t="str"/>
      <x:c r="BM567" s="12" t="str"/>
      <x:c r="BN567" s="12" t="str"/>
      <x:c r="BO567" s="12" t="str"/>
      <x:c r="BP567" s="12" t="str"/>
      <x:c r="BQ567" s="12" t="str"/>
    </x:row>
    <x:row r="568">
      <x:c r="A568" s="9" t="str">
        <x:v>pc-38</x:v>
      </x:c>
      <x:c r="B568" s="9" t="str">
        <x:v>quarterback-attack-with-mike-ditka</x:v>
      </x:c>
      <x:c r="C568" s="9" t="str">
        <x:v>PC</x:v>
      </x:c>
      <x:c r="D568" s="9" t="str">
        <x:v>Quarterback Attack with Mike Ditka</x:v>
      </x:c>
      <x:c r="E568" s="9" t="str">
        <x:v>Quarterback Attack</x:v>
      </x:c>
      <x:c r="F568" s="9" t="str">
        <x:v>Digital Pictures</x:v>
      </x:c>
      <x:c r="G568" s="9" t="str">
        <x:v>Digital Pictures (NA)</x:v>
      </x:c>
      <x:c r="H568" s="9" t="n">
        <x:v>1995</x:v>
      </x:c>
      <x:c r="I568" s="9" t="str">
        <x:v>Yes</x:v>
      </x:c>
      <x:c r="J568" s="9" t="str">
        <x:v>No</x:v>
      </x:c>
      <x:c r="K568" s="9" t="str">
        <x:v>No</x:v>
      </x:c>
      <x:c r="L568" s="9" t="str">
        <x:v>No</x:v>
      </x:c>
      <x:c r="M568" s="9" t="str">
        <x:v>American football FMV</x:v>
      </x:c>
      <x:c r="N568" s="9" t="str">
        <x:v>Live-action</x:v>
      </x:c>
      <x:c r="O568" s="9" t="n">
        <x:v>9</x:v>
      </x:c>
      <x:c r="P568" s="9" t="str">
        <x:v>Sports w/ FMV</x:v>
      </x:c>
      <x:c r="Q568" s="9" t="str">
        <x:v>Released</x:v>
      </x:c>
      <x:c r="R568" s="9" t="str">
        <x:v>Original production</x:v>
      </x:c>
      <x:c r="S568" s="9" t="str">
        <x:v>3DO, Saturn; iOS/Android remaster (2016)</x:v>
      </x:c>
      <x:c r="T568" s="9" t="str">
        <x:v>Mike Ditka (head coach); unlicensed actor players</x:v>
      </x:c>
      <x:c r="U568" s="9" t="n">
        <x:v>1</x:v>
      </x:c>
      <x:c r="V568" s="9" t="str">
        <x:v>No (passwords) (verify)</x:v>
      </x:c>
      <x:c r="W568" s="9" t="str">
        <x:v>486DX/33 (verify), 8 MB RAM, 2x CD-ROM, SVGA; DOS &amp; Windows 3.1/95 (verify)</x:v>
      </x:c>
      <x:c r="X568" s="9" t="str">
        <x:v>Low</x:v>
      </x:c>
      <x:c r="Y568" s="9" t="str"/>
      <x:c r="Z568" s="9" t="str">
        <x:v>1–2 hr season</x:v>
      </x:c>
      <x:c r="AA568" s="9" t="str">
        <x:v>Mike Ditka yells at you from the sideline in a first-person FMV quarterback game.</x:v>
      </x:c>
      <x:c r="AB568" s="9" t="str">
        <x:v>None known</x:v>
      </x:c>
      <x:c r="AC568" s="9" t="str">
        <x:v>Unknown — verify</x:v>
      </x:c>
      <x:c r="AD568" s="9" t="str">
        <x:v>Moderate; read-and-react passing</x:v>
      </x:c>
      <x:c r="AE568" s="9" t="str">
        <x:v>Win the championship; one ending</x:v>
      </x:c>
      <x:c r="AF568" s="9" t="str">
        <x:v>No NFL licence, so teams and players are fictional; footage later reused in the 2003 film Game Over.</x:v>
      </x:c>
      <x:c r="AG568" s="9" t="str">
        <x:v>Unknown — verify</x:v>
      </x:c>
      <x:c r="AH568" s="9" t="str">
        <x:v>No</x:v>
      </x:c>
      <x:c r="AI568" s="9" t="str">
        <x:v>Easy</x:v>
      </x:c>
      <x:c r="AJ568" s="9" t="str">
        <x:v>Original discs in DOSBox</x:v>
      </x:c>
      <x:c r="AK568" s="9" t="str">
        <x:v>PC release supported by a My Abandonware listing; year/platform DOS vs Windows (verify). PriceCharting has no PC Games page at the obvious slug (redirected to search).</x:v>
      </x:c>
      <x:c r="AL568" s="10"/>
      <x:c r="AM568" s="10"/>
      <x:c r="AN568" s="10"/>
      <x:c r="AO568" s="9"/>
      <x:c r="AP568" s="11" t="str">
        <x:f>HYPERLINK("https://www.pricecharting.com/search-products?q=Quarterback+Attack+with+Mike+Ditka+pc+games&amp;type=prices","PriceCharting")</x:f>
        <x:v>PriceCharting</x:v>
      </x:c>
      <x:c r="AQ568" s="9"/>
      <x:c r="AR568" s="9"/>
      <x:c r="AS568" s="9"/>
      <x:c r="AT568" s="9"/>
      <x:c r="AU568" s="9" t="str">
        <x:v>No market</x:v>
      </x:c>
      <x:c r="AV568" s="9" t="str">
        <x:v>Not sold on Steam or GOG (checked 2026-10-25) and no PriceCharting listing.</x:v>
      </x:c>
      <x:c r="AW568" s="9"/>
      <x:c r="AX568" s="9"/>
      <x:c r="AY568" s="9"/>
      <x:c r="AZ568" s="9"/>
      <x:c r="BA568" s="11" t="str">
        <x:f>HYPERLINK("https://www.mobygames.com/game/4473/quarterback-attack/","MobyGames")</x:f>
        <x:v>MobyGames</x:v>
      </x:c>
      <x:c r="BB568" s="9"/>
      <x:c r="BC568" s="9"/>
      <x:c r="BD568" s="9"/>
      <x:c r="BE568" s="11" t="str">
        <x:f>HYPERLINK("https://en.wikipedia.org/wiki/Quarterback_Attack_with_Mike_Ditka","Wikipedia")</x:f>
        <x:v>Wikipedia</x:v>
      </x:c>
      <x:c r="BF568" s="11" t="str">
        <x:f>HYPERLINK("https://backloggd.com/search/games/Quarterback%20Attack%20with%20Mike%20Ditka/","Backloggd")</x:f>
        <x:v>Backloggd</x:v>
      </x:c>
      <x:c r="BG568" s="9"/>
      <x:c r="BH568" s="9"/>
      <x:c r="BI568" s="12" t="str">
        <x:v>No</x:v>
      </x:c>
      <x:c r="BJ568" s="12" t="str"/>
      <x:c r="BK568" s="12" t="str">
        <x:v>No</x:v>
      </x:c>
      <x:c r="BL568" s="12" t="str"/>
      <x:c r="BM568" s="12" t="str"/>
      <x:c r="BN568" s="12" t="str"/>
      <x:c r="BO568" s="12" t="str"/>
      <x:c r="BP568" s="12" t="str"/>
      <x:c r="BQ568" s="12" t="str"/>
    </x:row>
    <x:row r="569">
      <x:c r="A569" s="9" t="str">
        <x:v>pc-39</x:v>
      </x:c>
      <x:c r="B569" s="9" t="str">
        <x:v>kids-on-site</x:v>
      </x:c>
      <x:c r="C569" s="9" t="str">
        <x:v>PC</x:v>
      </x:c>
      <x:c r="D569" s="9" t="str">
        <x:v>Kids on Site</x:v>
      </x:c>
      <x:c r="E569" s="9" t="str"/>
      <x:c r="F569" s="9" t="str">
        <x:v>Digital Pictures</x:v>
      </x:c>
      <x:c r="G569" s="9" t="str">
        <x:v>Digital Pictures (NA)</x:v>
      </x:c>
      <x:c r="H569" s="9" t="n">
        <x:v>1994</x:v>
      </x:c>
      <x:c r="I569" s="9" t="str">
        <x:v>Yes</x:v>
      </x:c>
      <x:c r="J569" s="9" t="str">
        <x:v>No</x:v>
      </x:c>
      <x:c r="K569" s="9" t="str">
        <x:v>No</x:v>
      </x:c>
      <x:c r="L569" s="9" t="str">
        <x:v>No</x:v>
      </x:c>
      <x:c r="M569" s="9" t="str">
        <x:v>Children's / construction</x:v>
      </x:c>
      <x:c r="N569" s="9" t="str">
        <x:v>Live-action</x:v>
      </x:c>
      <x:c r="O569" s="9" t="n">
        <x:v>10</x:v>
      </x:c>
      <x:c r="P569" s="9" t="str">
        <x:v>Digital Pictures</x:v>
      </x:c>
      <x:c r="Q569" s="9" t="str">
        <x:v>Released</x:v>
      </x:c>
      <x:c r="R569" s="9" t="str">
        <x:v>Original production</x:v>
      </x:c>
      <x:c r="S569" s="9" t="str">
        <x:v>Sega CD, Mac</x:v>
      </x:c>
      <x:c r="T569" s="9" t="str">
        <x:v>—</x:v>
      </x:c>
      <x:c r="U569" s="9" t="n">
        <x:v>1</x:v>
      </x:c>
      <x:c r="V569" s="9" t="str">
        <x:v>No</x:v>
      </x:c>
      <x:c r="W569" s="9" t="str">
        <x:v>486 (verify), 4-8 MB RAM, 2x CD-ROM, SVGA; Windows 3.1 (verify)</x:v>
      </x:c>
      <x:c r="X569" s="9" t="str">
        <x:v>Low</x:v>
      </x:c>
      <x:c r="Y569" s="9" t="str"/>
      <x:c r="Z569" s="9" t="str">
        <x:v>30 min</x:v>
      </x:c>
      <x:c r="AA569" s="9" t="str">
        <x:v>Digital Pictures' preschool FMV game: steer real bulldozers and cranes with a goofy foreman cheering you on.</x:v>
      </x:c>
      <x:c r="AB569" s="9" t="str">
        <x:v>None; no fail state</x:v>
      </x:c>
      <x:c r="AC569" s="9" t="str">
        <x:v>Unknown — verify</x:v>
      </x:c>
      <x:c r="AD569" s="9" t="str">
        <x:v>Trivial — made for ages 4+</x:v>
      </x:c>
      <x:c r="AE569" s="9" t="str">
        <x:v>None; free-play construction tasks</x:v>
      </x:c>
      <x:c r="AF569" s="9" t="str">
        <x:v>Digital Pictures' attempt at a kids' line; a 'Hard Hat Edition' title also appears in listings (verify).</x:v>
      </x:c>
      <x:c r="AG569" s="9" t="str">
        <x:v>Kids on Site Hard Hat Edition (verify)</x:v>
      </x:c>
      <x:c r="AH569" s="9" t="str">
        <x:v>Yes (Windows and PS4 2022, PS5 2026; Screaming Villains and Limited Run)</x:v>
      </x:c>
      <x:c r="AI569" s="9" t="str">
        <x:v>Easy</x:v>
      </x:c>
      <x:c r="AJ569" s="9" t="str">
        <x:v>The modern re-release on Windows or PS5; original disc in DOSBox or 86Box</x:v>
      </x:c>
      <x:c r="AK569" s="9" t="str">
        <x:v>PC release year and OS (verify); Wikipedia and Mac listings confirm a computer release. PriceCharting PC price not fetched: the shared WebFetch budget ran out mid-batch; re-run the price step.</x:v>
      </x:c>
      <x:c r="AL569" s="10"/>
      <x:c r="AM569" s="10"/>
      <x:c r="AN569" s="10"/>
      <x:c r="AO569" s="9"/>
      <x:c r="AP569" s="11" t="str">
        <x:f>HYPERLINK("https://www.pricecharting.com/search-products?q=Kids+on+Site+pc+games&amp;type=prices","PriceCharting")</x:f>
        <x:v>PriceCharting</x:v>
      </x:c>
      <x:c r="AQ569" s="9"/>
      <x:c r="AR569" s="9"/>
      <x:c r="AS569" s="9"/>
      <x:c r="AT569" s="9"/>
      <x:c r="AU569" s="9" t="str">
        <x:v>No market</x:v>
      </x:c>
      <x:c r="AV569" s="9" t="str">
        <x:v>Not sold on Steam or GOG (checked 2026-10-25) and no PriceCharting listing.</x:v>
      </x:c>
      <x:c r="AW569" s="9"/>
      <x:c r="AX569" s="9"/>
      <x:c r="AY569" s="9"/>
      <x:c r="AZ569" s="9"/>
      <x:c r="BA569" s="11" t="str">
        <x:f>HYPERLINK("https://www.mobygames.com/search/?q=Kids+on+Site","MobyGames")</x:f>
        <x:v>MobyGames</x:v>
      </x:c>
      <x:c r="BB569" s="9"/>
      <x:c r="BC569" s="9"/>
      <x:c r="BD569" s="9"/>
      <x:c r="BE569" s="11" t="str">
        <x:f>HYPERLINK("https://en.wikipedia.org/wiki/Kids_on_Site","Wikipedia")</x:f>
        <x:v>Wikipedia</x:v>
      </x:c>
      <x:c r="BF569" s="11" t="str">
        <x:f>HYPERLINK("https://backloggd.com/search/games/Kids%20on%20Site/","Backloggd")</x:f>
        <x:v>Backloggd</x:v>
      </x:c>
      <x:c r="BG569" s="9"/>
      <x:c r="BH569" s="9"/>
      <x:c r="BI569" s="12" t="str">
        <x:v>No</x:v>
      </x:c>
      <x:c r="BJ569" s="12" t="str"/>
      <x:c r="BK569" s="12" t="str">
        <x:v>No</x:v>
      </x:c>
      <x:c r="BL569" s="12" t="str"/>
      <x:c r="BM569" s="12" t="str"/>
      <x:c r="BN569" s="12" t="str"/>
      <x:c r="BO569" s="12" t="str"/>
      <x:c r="BP569" s="12" t="str"/>
      <x:c r="BQ569" s="12" t="str"/>
    </x:row>
    <x:row r="570">
      <x:c r="A570" s="9" t="str">
        <x:v>pc-40</x:v>
      </x:c>
      <x:c r="B570" s="9" t="str">
        <x:v>mad-dog-mccree</x:v>
      </x:c>
      <x:c r="C570" s="9" t="str">
        <x:v>PC</x:v>
      </x:c>
      <x:c r="D570" s="9" t="str">
        <x:v>Mad Dog McCree</x:v>
      </x:c>
      <x:c r="E570" s="9" t="str"/>
      <x:c r="F570" s="9" t="str">
        <x:v>American Laser Games</x:v>
      </x:c>
      <x:c r="G570" s="9" t="str">
        <x:v>American Laser Games (NA)</x:v>
      </x:c>
      <x:c r="H570" s="9" t="n">
        <x:v>1993</x:v>
      </x:c>
      <x:c r="I570" s="9" t="str">
        <x:v>Yes</x:v>
      </x:c>
      <x:c r="J570" s="9" t="str">
        <x:v>No</x:v>
      </x:c>
      <x:c r="K570" s="9" t="str">
        <x:v>No</x:v>
      </x:c>
      <x:c r="L570" s="9" t="str">
        <x:v>No</x:v>
      </x:c>
      <x:c r="M570" s="9" t="str">
        <x:v>Light-gun rail shooter</x:v>
      </x:c>
      <x:c r="N570" s="9" t="str">
        <x:v>Live-action</x:v>
      </x:c>
      <x:c r="O570" s="9" t="n">
        <x:v>10</x:v>
      </x:c>
      <x:c r="P570" s="9" t="str">
        <x:v>American Laser Games</x:v>
      </x:c>
      <x:c r="Q570" s="9" t="str">
        <x:v>Released</x:v>
      </x:c>
      <x:c r="R570" s="9" t="str">
        <x:v>Arcade laserdisc game (American Laser Games)</x:v>
      </x:c>
      <x:c r="S570" s="9" t="str">
        <x:v>Arcade, 3DO, CD-i, Sega CD, DVD, iOS, Nintendo 3DS, Wii, PlayStation Network</x:v>
      </x:c>
      <x:c r="T570" s="9" t="str">
        <x:v>Ben Zeller (Prospector), Russ Dillen (Mad Dog), Lori Dillen, Carol Eason</x:v>
      </x:c>
      <x:c r="U570" s="9" t="n">
        <x:v>1</x:v>
      </x:c>
      <x:c r="V570" s="9" t="str">
        <x:v>No</x:v>
      </x:c>
      <x:c r="W570" s="9" t="str">
        <x:v>386/486 (verify), 4-8 MB RAM, 2x CD-ROM, VGA/SVGA; mouse aims; ALG PC GameGun supported (verify); DOS</x:v>
      </x:c>
      <x:c r="X570" s="9" t="str">
        <x:v>Low</x:v>
      </x:c>
      <x:c r="Y570" s="9" t="str"/>
      <x:c r="Z570" s="9" t="str">
        <x:v>20–40 min</x:v>
      </x:c>
      <x:c r="AA570" s="9" t="str">
        <x:v>The game that started the live-action light-gun craze, at home on PC with mouse aiming.</x:v>
      </x:c>
      <x:c r="AB570" s="9" t="str">
        <x:v>None known</x:v>
      </x:c>
      <x:c r="AC570" s="9" t="str">
        <x:v>Unknown — verify</x:v>
      </x:c>
      <x:c r="AD570" s="9" t="str">
        <x:v>Moderate; much easier with a mouse than a pad</x:v>
      </x:c>
      <x:c r="AE570" s="9" t="str">
        <x:v>Linear; one ending (defeat Mad Dog in the showdown)</x:v>
      </x:c>
      <x:c r="AF570" s="9" t="str">
        <x:v>Shot in New Mexico for about $125,000 with local actors.</x:v>
      </x:c>
      <x:c r="AG570" s="9" t="str">
        <x:v>Big-box original; later ALG/Digital Leisure jewel-case and Windows reissues (verify)</x:v>
      </x:c>
      <x:c r="AH570" s="9" t="str">
        <x:v>No verified current digital sale; original discs and legacy Digital Leisure editions (platforms vary).</x:v>
      </x:c>
      <x:c r="AI570" s="9" t="str">
        <x:v>Easy</x:v>
      </x:c>
      <x:c r="AJ570" s="9" t="str">
        <x:v>Original DOS/Windows discs bought secondhand; compatibility depends on the edition. Current official digital sale unverified.</x:v>
      </x:c>
      <x:c r="AK570" s="9" t="str"/>
      <x:c r="AL570" s="10" t="n">
        <x:v>3.53</x:v>
      </x:c>
      <x:c r="AM570" s="10" t="n">
        <x:v>14.15</x:v>
      </x:c>
      <x:c r="AN570" s="10" t="n">
        <x:v>30</x:v>
      </x:c>
      <x:c r="AO570" s="9" t="str">
        <x:v>2026-10-24</x:v>
      </x:c>
      <x:c r="AP570" s="11" t="str">
        <x:f>HYPERLINK("https://www.pricecharting.com/game/pc-games/mad-dog-mccree","PriceCharting")</x:f>
        <x:v>PriceCharting</x:v>
      </x:c>
      <x:c r="AQ570" s="9"/>
      <x:c r="AR570" s="9"/>
      <x:c r="AS570" s="9"/>
      <x:c r="AT570" s="9"/>
      <x:c r="AU570" s="9"/>
      <x:c r="AV570" s="9"/>
      <x:c r="AW570" s="9"/>
      <x:c r="AX570" s="9"/>
      <x:c r="AY570" s="9"/>
      <x:c r="AZ570" s="9" t="str">
        <x:v>3.0</x:v>
      </x:c>
      <x:c r="BA570" s="11" t="str">
        <x:f>HYPERLINK("https://www.mobygames.com/game/dos/mad-dog-mccree","MobyGames")</x:f>
        <x:v>MobyGames</x:v>
      </x:c>
      <x:c r="BB570" s="9" t="str">
        <x:v>32%</x:v>
      </x:c>
      <x:c r="BC570" s="9" t="str">
        <x:v>GameRankings, 2 reviews</x:v>
      </x:c>
      <x:c r="BD570" s="9" t="str">
        <x:f>HYPERLINK("https://web.archive.org/web/20191209014241id_/https://www.gamerankings.com/pc/537263-mad-dog-mccree/","Source")</x:f>
        <x:v>Source</x:v>
      </x:c>
      <x:c r="BE570" s="11" t="str">
        <x:f>HYPERLINK("https://en.wikipedia.org/wiki/Mad_Dog_McCree","Wikipedia")</x:f>
        <x:v>Wikipedia</x:v>
      </x:c>
      <x:c r="BF570" s="11" t="str">
        <x:f>HYPERLINK("https://backloggd.com/search/games/Mad%20Dog%20McCree/","Backloggd")</x:f>
        <x:v>Backloggd</x:v>
      </x:c>
      <x:c r="BG570" s="9"/>
      <x:c r="BH570" s="9"/>
      <x:c r="BI570" s="12" t="str">
        <x:v>No</x:v>
      </x:c>
      <x:c r="BJ570" s="12" t="str"/>
      <x:c r="BK570" s="12" t="str">
        <x:v>No</x:v>
      </x:c>
      <x:c r="BL570" s="12" t="str"/>
      <x:c r="BM570" s="12" t="str"/>
      <x:c r="BN570" s="12" t="str"/>
      <x:c r="BO570" s="12" t="str"/>
      <x:c r="BP570" s="12" t="str"/>
      <x:c r="BQ570" s="12" t="str"/>
    </x:row>
    <x:row r="571">
      <x:c r="A571" s="9" t="str">
        <x:v>pc-41</x:v>
      </x:c>
      <x:c r="B571" s="9" t="str">
        <x:v>mad-dog-ii-the-lost-gold</x:v>
      </x:c>
      <x:c r="C571" s="9" t="str">
        <x:v>PC</x:v>
      </x:c>
      <x:c r="D571" s="9" t="str">
        <x:v>Mad Dog II: The Lost Gold</x:v>
      </x:c>
      <x:c r="E571" s="9" t="str"/>
      <x:c r="F571" s="9" t="str">
        <x:v>American Laser Games</x:v>
      </x:c>
      <x:c r="G571" s="9" t="str">
        <x:v>American Laser Games (NA)</x:v>
      </x:c>
      <x:c r="H571" s="9" t="n">
        <x:v>1994</x:v>
      </x:c>
      <x:c r="I571" s="9" t="str">
        <x:v>Yes</x:v>
      </x:c>
      <x:c r="J571" s="9" t="str">
        <x:v>No</x:v>
      </x:c>
      <x:c r="K571" s="9" t="str">
        <x:v>No</x:v>
      </x:c>
      <x:c r="L571" s="9" t="str">
        <x:v>No</x:v>
      </x:c>
      <x:c r="M571" s="9" t="str">
        <x:v>Light-gun rail shooter</x:v>
      </x:c>
      <x:c r="N571" s="9" t="str">
        <x:v>Live-action</x:v>
      </x:c>
      <x:c r="O571" s="9" t="n">
        <x:v>10</x:v>
      </x:c>
      <x:c r="P571" s="9" t="str">
        <x:v>American Laser Games</x:v>
      </x:c>
      <x:c r="Q571" s="9" t="str">
        <x:v>Released</x:v>
      </x:c>
      <x:c r="R571" s="9" t="str">
        <x:v>Arcade laserdisc game (American Laser Games)</x:v>
      </x:c>
      <x:c r="S571" s="9" t="str">
        <x:v>Arcade, 3DO, Sega CD, CD-i, DVD, Wii, PlayStation Network</x:v>
      </x:c>
      <x:c r="T571" s="9" t="str">
        <x:v>Ben Zeller (stagecoach driver); other cast uncredited</x:v>
      </x:c>
      <x:c r="U571" s="9" t="n">
        <x:v>1</x:v>
      </x:c>
      <x:c r="V571" s="9" t="str">
        <x:v>No</x:v>
      </x:c>
      <x:c r="W571" s="9" t="str">
        <x:v>386/486 (verify), 4-8 MB RAM, 2x CD-ROM, VGA/SVGA; mouse aims; ALG PC GameGun supported (verify); DOS</x:v>
      </x:c>
      <x:c r="X571" s="9" t="str">
        <x:v>Low</x:v>
      </x:c>
      <x:c r="Y571" s="9" t="str"/>
      <x:c r="Z571" s="9" t="str">
        <x:v>30–45 min per route</x:v>
      </x:c>
      <x:c r="AA571" s="9" t="str">
        <x:v>Pick one of three guides and ride three routes to the same hideout finale.</x:v>
      </x:c>
      <x:c r="AB571" s="9" t="str">
        <x:v>None known</x:v>
      </x:c>
      <x:c r="AC571" s="9" t="str">
        <x:v>Unknown — verify</x:v>
      </x:c>
      <x:c r="AD571" s="9" t="str">
        <x:v>Moderate; much easier with a mouse than a pad</x:v>
      </x:c>
      <x:c r="AE571" s="9" t="str">
        <x:v>Three routes converge on one ending</x:v>
      </x:c>
      <x:c r="AF571" s="9" t="str">
        <x:v>The 'fool's gold' sand-chest gag appears if you finish using continues (console versions; verify on PC).</x:v>
      </x:c>
      <x:c r="AG571" s="9" t="str">
        <x:v>Big-box original; later ALG/Digital Leisure jewel-case and Windows reissues (verify)</x:v>
      </x:c>
      <x:c r="AH571" s="9" t="str">
        <x:v>No verified current digital sale; original discs and legacy Digital Leisure editions (platforms vary).</x:v>
      </x:c>
      <x:c r="AI571" s="9" t="str">
        <x:v>Easy</x:v>
      </x:c>
      <x:c r="AJ571" s="9" t="str">
        <x:v>Original DOS/Windows discs bought secondhand; compatibility depends on the edition. Current official digital sale unverified.</x:v>
      </x:c>
      <x:c r="AK571" s="9" t="str"/>
      <x:c r="AL571" s="10" t="n">
        <x:v>9.99</x:v>
      </x:c>
      <x:c r="AM571" s="10" t="n">
        <x:v>28.2</x:v>
      </x:c>
      <x:c r="AN571" s="10" t="n">
        <x:v>50</x:v>
      </x:c>
      <x:c r="AO571" s="9" t="str">
        <x:v>2026-10-24</x:v>
      </x:c>
      <x:c r="AP571" s="11" t="str">
        <x:f>HYPERLINK("https://www.pricecharting.com/game/pc-games/mad-dog-ii-the-lost-gold","PriceCharting")</x:f>
        <x:v>PriceCharting</x:v>
      </x:c>
      <x:c r="AQ571" s="9"/>
      <x:c r="AR571" s="9"/>
      <x:c r="AS571" s="9"/>
      <x:c r="AT571" s="9"/>
      <x:c r="AU571" s="9"/>
      <x:c r="AV571" s="9"/>
      <x:c r="AW571" s="9"/>
      <x:c r="AX571" s="9"/>
      <x:c r="AY571" s="9"/>
      <x:c r="AZ571" s="9"/>
      <x:c r="BA571" s="11" t="str">
        <x:f>HYPERLINK("https://www.mobygames.com/search/?q=Mad+Dog+II%3A+The+Lost+Gold","MobyGames")</x:f>
        <x:v>MobyGames</x:v>
      </x:c>
      <x:c r="BB571" s="9"/>
      <x:c r="BC571" s="9"/>
      <x:c r="BD571" s="9"/>
      <x:c r="BE571" s="11" t="str">
        <x:f>HYPERLINK("https://en.wikipedia.org/wiki/Mad_Dog_II:_The_Lost_Gold","Wikipedia")</x:f>
        <x:v>Wikipedia</x:v>
      </x:c>
      <x:c r="BF571" s="11" t="str">
        <x:f>HYPERLINK("https://backloggd.com/search/games/Mad%20Dog%20II%3A%20The%20Lost%20Gold/","Backloggd")</x:f>
        <x:v>Backloggd</x:v>
      </x:c>
      <x:c r="BG571" s="9"/>
      <x:c r="BH571" s="9"/>
      <x:c r="BI571" s="12" t="str">
        <x:v>No</x:v>
      </x:c>
      <x:c r="BJ571" s="12" t="str"/>
      <x:c r="BK571" s="12" t="str">
        <x:v>No</x:v>
      </x:c>
      <x:c r="BL571" s="12" t="str"/>
      <x:c r="BM571" s="12" t="str"/>
      <x:c r="BN571" s="12" t="str"/>
      <x:c r="BO571" s="12" t="str"/>
      <x:c r="BP571" s="12" t="str"/>
      <x:c r="BQ571" s="12" t="str"/>
    </x:row>
    <x:row r="572">
      <x:c r="A572" s="9" t="str">
        <x:v>pc-42</x:v>
      </x:c>
      <x:c r="B572" s="9" t="str">
        <x:v>who-shot-johnny-rock</x:v>
      </x:c>
      <x:c r="C572" s="9" t="str">
        <x:v>PC</x:v>
      </x:c>
      <x:c r="D572" s="9" t="str">
        <x:v>Who Shot Johnny Rock?</x:v>
      </x:c>
      <x:c r="E572" s="9" t="str"/>
      <x:c r="F572" s="9" t="str">
        <x:v>American Laser Games</x:v>
      </x:c>
      <x:c r="G572" s="9" t="str">
        <x:v>American Laser Games (NA)</x:v>
      </x:c>
      <x:c r="H572" s="9" t="n">
        <x:v>1994</x:v>
      </x:c>
      <x:c r="I572" s="9" t="str">
        <x:v>Yes</x:v>
      </x:c>
      <x:c r="J572" s="9" t="str">
        <x:v>No</x:v>
      </x:c>
      <x:c r="K572" s="9" t="str">
        <x:v>No</x:v>
      </x:c>
      <x:c r="L572" s="9" t="str">
        <x:v>No</x:v>
      </x:c>
      <x:c r="M572" s="9" t="str">
        <x:v>Light-gun rail shooter</x:v>
      </x:c>
      <x:c r="N572" s="9" t="str">
        <x:v>Live-action</x:v>
      </x:c>
      <x:c r="O572" s="9" t="n">
        <x:v>10</x:v>
      </x:c>
      <x:c r="P572" s="9" t="str">
        <x:v>American Laser Games</x:v>
      </x:c>
      <x:c r="Q572" s="9" t="str">
        <x:v>Released</x:v>
      </x:c>
      <x:c r="R572" s="9" t="str">
        <x:v>Arcade laserdisc game (American Laser Games)</x:v>
      </x:c>
      <x:c r="S572" s="9" t="str">
        <x:v>Arcade, Sega CD, CD-i, 3DO, DVD</x:v>
      </x:c>
      <x:c r="T572" s="9" t="str">
        <x:v>Uncredited — verify</x:v>
      </x:c>
      <x:c r="U572" s="9" t="n">
        <x:v>1</x:v>
      </x:c>
      <x:c r="V572" s="9" t="str">
        <x:v>No</x:v>
      </x:c>
      <x:c r="W572" s="9" t="str">
        <x:v>386/486 (verify), 4-8 MB RAM, 2x CD-ROM, VGA/SVGA; mouse aims; ALG PC GameGun supported (verify); DOS</x:v>
      </x:c>
      <x:c r="X572" s="9" t="str">
        <x:v>Low</x:v>
      </x:c>
      <x:c r="Y572" s="9" t="str"/>
      <x:c r="Z572" s="9" t="str">
        <x:v>30–45 min</x:v>
      </x:c>
      <x:c r="AA572" s="9" t="str">
        <x:v>A 1930s gangster whodunit where the killer is randomly picked each game and you buy bullets with your fee.</x:v>
      </x:c>
      <x:c r="AB572" s="9" t="str">
        <x:v>None known</x:v>
      </x:c>
      <x:c r="AC572" s="9" t="str">
        <x:v>Unknown — verify</x:v>
      </x:c>
      <x:c r="AD572" s="9" t="str">
        <x:v>Moderate; much easier with a mouse than a pad</x:v>
      </x:c>
      <x:c r="AE572" s="9" t="str">
        <x:v>Randomised culprit among four suspects; one ending structure</x:v>
      </x:c>
      <x:c r="AF572" s="9" t="str">
        <x:v>Shown at the 1991 Las Vegas Amusement Expo as 'Who Killed Johnny Rock?'.</x:v>
      </x:c>
      <x:c r="AG572" s="9" t="str">
        <x:v>Big-box original; later ALG/Digital Leisure jewel-case and Windows reissues (verify)</x:v>
      </x:c>
      <x:c r="AH572" s="9" t="str">
        <x:v>No verified current digital sale; original discs and legacy Digital Leisure editions (platforms vary).</x:v>
      </x:c>
      <x:c r="AI572" s="9" t="str">
        <x:v>Easy</x:v>
      </x:c>
      <x:c r="AJ572" s="9" t="str">
        <x:v>Original DOS/Windows discs bought secondhand; compatibility depends on the edition. Current official digital sale unverified.</x:v>
      </x:c>
      <x:c r="AK572" s="9" t="str"/>
      <x:c r="AL572" s="10" t="n">
        <x:v>7.5</x:v>
      </x:c>
      <x:c r="AM572" s="10" t="n">
        <x:v>13.45</x:v>
      </x:c>
      <x:c r="AN572" s="10" t="n">
        <x:v>18.98</x:v>
      </x:c>
      <x:c r="AO572" s="9" t="str">
        <x:v>2026-10-24</x:v>
      </x:c>
      <x:c r="AP572" s="11" t="str">
        <x:f>HYPERLINK("https://www.pricecharting.com/game/pc-games/who-shot-johnny-rock","PriceCharting")</x:f>
        <x:v>PriceCharting</x:v>
      </x:c>
      <x:c r="AQ572" s="9"/>
      <x:c r="AR572" s="9"/>
      <x:c r="AS572" s="9"/>
      <x:c r="AT572" s="9"/>
      <x:c r="AU572" s="9"/>
      <x:c r="AV572" s="9"/>
      <x:c r="AW572" s="9"/>
      <x:c r="AX572" s="9"/>
      <x:c r="AY572" s="9" t="str">
        <x:v>56%</x:v>
      </x:c>
      <x:c r="AZ572" s="9" t="str">
        <x:v>3.2</x:v>
      </x:c>
      <x:c r="BA572" s="11" t="str">
        <x:f>HYPERLINK("https://www.mobygames.com/game/dos/who-shot-johnny-rock","MobyGames")</x:f>
        <x:v>MobyGames</x:v>
      </x:c>
      <x:c r="BB572" s="9"/>
      <x:c r="BC572" s="9"/>
      <x:c r="BD572" s="9"/>
      <x:c r="BE572" s="11" t="str">
        <x:f>HYPERLINK("https://en.wikipedia.org/wiki/Who_Shot_Johnny_Rock%3F","Wikipedia")</x:f>
        <x:v>Wikipedia</x:v>
      </x:c>
      <x:c r="BF572" s="11" t="str">
        <x:f>HYPERLINK("https://backloggd.com/search/games/Who%20Shot%20Johnny%20Rock%3F/","Backloggd")</x:f>
        <x:v>Backloggd</x:v>
      </x:c>
      <x:c r="BG572" s="9"/>
      <x:c r="BH572" s="9"/>
      <x:c r="BI572" s="12" t="str">
        <x:v>No</x:v>
      </x:c>
      <x:c r="BJ572" s="12" t="str"/>
      <x:c r="BK572" s="12" t="str">
        <x:v>No</x:v>
      </x:c>
      <x:c r="BL572" s="12" t="str"/>
      <x:c r="BM572" s="12" t="str"/>
      <x:c r="BN572" s="12" t="str"/>
      <x:c r="BO572" s="12" t="str"/>
      <x:c r="BP572" s="12" t="str"/>
      <x:c r="BQ572" s="12" t="str"/>
    </x:row>
    <x:row r="573">
      <x:c r="A573" s="9" t="str">
        <x:v>pc-43</x:v>
      </x:c>
      <x:c r="B573" s="9" t="str">
        <x:v>space-pirates</x:v>
      </x:c>
      <x:c r="C573" s="9" t="str">
        <x:v>PC</x:v>
      </x:c>
      <x:c r="D573" s="9" t="str">
        <x:v>Space Pirates</x:v>
      </x:c>
      <x:c r="E573" s="9" t="str"/>
      <x:c r="F573" s="9" t="str">
        <x:v>American Laser Games</x:v>
      </x:c>
      <x:c r="G573" s="9" t="str">
        <x:v>American Laser Games (NA)</x:v>
      </x:c>
      <x:c r="H573" s="9" t="n">
        <x:v>1994</x:v>
      </x:c>
      <x:c r="I573" s="9" t="str">
        <x:v>Yes</x:v>
      </x:c>
      <x:c r="J573" s="9" t="str">
        <x:v>No</x:v>
      </x:c>
      <x:c r="K573" s="9" t="str">
        <x:v>No</x:v>
      </x:c>
      <x:c r="L573" s="9" t="str">
        <x:v>No</x:v>
      </x:c>
      <x:c r="M573" s="9" t="str">
        <x:v>Light-gun rail shooter</x:v>
      </x:c>
      <x:c r="N573" s="9" t="str">
        <x:v>Live-action</x:v>
      </x:c>
      <x:c r="O573" s="9" t="n">
        <x:v>10</x:v>
      </x:c>
      <x:c r="P573" s="9" t="str">
        <x:v>American Laser Games</x:v>
      </x:c>
      <x:c r="Q573" s="9" t="str">
        <x:v>Released</x:v>
      </x:c>
      <x:c r="R573" s="9" t="str">
        <x:v>Arcade laserdisc game (American Laser Games)</x:v>
      </x:c>
      <x:c r="S573" s="9" t="str">
        <x:v>Arcade, 3DO, DVD</x:v>
      </x:c>
      <x:c r="T573" s="9" t="str">
        <x:v>Ben Zeller (old man); the other actors are not named in available sources</x:v>
      </x:c>
      <x:c r="U573" s="9" t="n">
        <x:v>1</x:v>
      </x:c>
      <x:c r="V573" s="9" t="str">
        <x:v>No</x:v>
      </x:c>
      <x:c r="W573" s="9" t="str">
        <x:v>386/486 (verify), 4-8 MB RAM, 2x CD-ROM, VGA/SVGA; mouse aims; ALG PC GameGun supported (verify); DOS</x:v>
      </x:c>
      <x:c r="X573" s="9" t="str">
        <x:v>Low</x:v>
      </x:c>
      <x:c r="Y573" s="9" t="str"/>
      <x:c r="Z573" s="9" t="str">
        <x:v>30–45 min</x:v>
      </x:c>
      <x:c r="AA573" s="9" t="str">
        <x:v>ALG's lone sci-fi shooter: rubber-suited pirates, three crystals and a Star-Splitter Cannon.</x:v>
      </x:c>
      <x:c r="AB573" s="9" t="str">
        <x:v>None known</x:v>
      </x:c>
      <x:c r="AC573" s="9" t="str">
        <x:v>Unknown — verify</x:v>
      </x:c>
      <x:c r="AD573" s="9" t="str">
        <x:v>Moderate; much easier with a mouse than a pad</x:v>
      </x:c>
      <x:c r="AE573" s="9" t="str">
        <x:v>Four planets in any order, then the Black Dragon; one ending</x:v>
      </x:c>
      <x:c r="AF573" s="9" t="str">
        <x:v>The PC version is single-player; the 3DO port added two-player play.</x:v>
      </x:c>
      <x:c r="AG573" s="9" t="str">
        <x:v>Big-box original; later ALG/Digital Leisure jewel-case and Windows reissues (verify)</x:v>
      </x:c>
      <x:c r="AH573" s="9" t="str">
        <x:v>No verified current digital sale; original discs and legacy Digital Leisure editions (platforms vary).</x:v>
      </x:c>
      <x:c r="AI573" s="9" t="str">
        <x:v>Easy</x:v>
      </x:c>
      <x:c r="AJ573" s="9" t="str">
        <x:v>Original DOS/Windows discs bought secondhand; compatibility depends on the edition. Current official digital sale unverified.</x:v>
      </x:c>
      <x:c r="AK573" s="9" t="str">
        <x:v>PC year 1994 or 1995 (verify). PriceCharting has no PC Games page at the obvious slug (redirected to search).</x:v>
      </x:c>
      <x:c r="AL573" s="10"/>
      <x:c r="AM573" s="10"/>
      <x:c r="AN573" s="10"/>
      <x:c r="AO573" s="9"/>
      <x:c r="AP573" s="11" t="str">
        <x:f>HYPERLINK("https://www.pricecharting.com/search-products?q=Space+Pirates+pc+games&amp;type=prices","PriceCharting")</x:f>
        <x:v>PriceCharting</x:v>
      </x:c>
      <x:c r="AQ573" s="9"/>
      <x:c r="AR573" s="9"/>
      <x:c r="AS573" s="9"/>
      <x:c r="AT573" s="9"/>
      <x:c r="AU573" s="9" t="str">
        <x:v>No market</x:v>
      </x:c>
      <x:c r="AV573" s="9" t="str">
        <x:v>Not sold on Steam or GOG (checked 2026-10-25) and no PriceCharting listing.</x:v>
      </x:c>
      <x:c r="AW573" s="9"/>
      <x:c r="AX573" s="9"/>
      <x:c r="AY573" s="9" t="str">
        <x:v>48%</x:v>
      </x:c>
      <x:c r="AZ573" s="9" t="str">
        <x:v>2.3</x:v>
      </x:c>
      <x:c r="BA573" s="11" t="str">
        <x:f>HYPERLINK("https://www.mobygames.com/game/dos/space-pirates","MobyGames")</x:f>
        <x:v>MobyGames</x:v>
      </x:c>
      <x:c r="BB573" s="9"/>
      <x:c r="BC573" s="9"/>
      <x:c r="BD573" s="9"/>
      <x:c r="BE573" s="11" t="str">
        <x:f>HYPERLINK("https://en.wikipedia.org/wiki/Space_Pirates_(video_game)","Wikipedia")</x:f>
        <x:v>Wikipedia</x:v>
      </x:c>
      <x:c r="BF573" s="11" t="str">
        <x:f>HYPERLINK("https://backloggd.com/search/games/Space%20Pirates/","Backloggd")</x:f>
        <x:v>Backloggd</x:v>
      </x:c>
      <x:c r="BG573" s="9"/>
      <x:c r="BH573" s="9"/>
      <x:c r="BI573" s="12" t="str">
        <x:v>No</x:v>
      </x:c>
      <x:c r="BJ573" s="12" t="str"/>
      <x:c r="BK573" s="12" t="str">
        <x:v>No</x:v>
      </x:c>
      <x:c r="BL573" s="12" t="str"/>
      <x:c r="BM573" s="12" t="str"/>
      <x:c r="BN573" s="12" t="str"/>
      <x:c r="BO573" s="12" t="str"/>
      <x:c r="BP573" s="12" t="str"/>
      <x:c r="BQ573" s="12" t="str"/>
    </x:row>
    <x:row r="574">
      <x:c r="A574" s="9" t="str">
        <x:v>pc-44</x:v>
      </x:c>
      <x:c r="B574" s="9" t="str">
        <x:v>crime-patrol</x:v>
      </x:c>
      <x:c r="C574" s="9" t="str">
        <x:v>PC</x:v>
      </x:c>
      <x:c r="D574" s="9" t="str">
        <x:v>Crime Patrol</x:v>
      </x:c>
      <x:c r="E574" s="9" t="str"/>
      <x:c r="F574" s="9" t="str">
        <x:v>American Laser Games</x:v>
      </x:c>
      <x:c r="G574" s="9" t="str">
        <x:v>American Laser Games (NA)</x:v>
      </x:c>
      <x:c r="H574" s="9" t="n">
        <x:v>1994</x:v>
      </x:c>
      <x:c r="I574" s="9" t="str">
        <x:v>Yes</x:v>
      </x:c>
      <x:c r="J574" s="9" t="str">
        <x:v>No</x:v>
      </x:c>
      <x:c r="K574" s="9" t="str">
        <x:v>No</x:v>
      </x:c>
      <x:c r="L574" s="9" t="str">
        <x:v>No</x:v>
      </x:c>
      <x:c r="M574" s="9" t="str">
        <x:v>Light-gun rail shooter</x:v>
      </x:c>
      <x:c r="N574" s="9" t="str">
        <x:v>Live-action</x:v>
      </x:c>
      <x:c r="O574" s="9" t="n">
        <x:v>10</x:v>
      </x:c>
      <x:c r="P574" s="9" t="str">
        <x:v>American Laser Games</x:v>
      </x:c>
      <x:c r="Q574" s="9" t="str">
        <x:v>Released</x:v>
      </x:c>
      <x:c r="R574" s="9" t="str">
        <x:v>Arcade laserdisc game (American Laser Games)</x:v>
      </x:c>
      <x:c r="S574" s="9" t="str">
        <x:v>Arcade, 3DO, CD-i, Sega CD, Macintosh, DVD</x:v>
      </x:c>
      <x:c r="T574" s="9" t="str">
        <x:v>Uncredited Albuquerque-area actors — verify</x:v>
      </x:c>
      <x:c r="U574" s="9" t="n">
        <x:v>1</x:v>
      </x:c>
      <x:c r="V574" s="9" t="str">
        <x:v>No</x:v>
      </x:c>
      <x:c r="W574" s="9" t="str">
        <x:v>386/486 (verify), 4-8 MB RAM, 2x CD-ROM, VGA/SVGA; mouse aims; ALG PC GameGun supported (verify); DOS</x:v>
      </x:c>
      <x:c r="X574" s="9" t="str">
        <x:v>Low</x:v>
      </x:c>
      <x:c r="Y574" s="9" t="str"/>
      <x:c r="Z574" s="9" t="str">
        <x:v>30–45 min</x:v>
      </x:c>
      <x:c r="AA574" s="9" t="str">
        <x:v>Rise from rookie cop to Delta Force in a shooter that plays like a cheap 80s cop show.</x:v>
      </x:c>
      <x:c r="AB574" s="9" t="str">
        <x:v>None known</x:v>
      </x:c>
      <x:c r="AC574" s="9" t="str">
        <x:v>Unknown — verify</x:v>
      </x:c>
      <x:c r="AD574" s="9" t="str">
        <x:v>Moderate; much easier with a mouse than a pad</x:v>
      </x:c>
      <x:c r="AE574" s="9" t="str">
        <x:v>Linear four-tier progression; one ending</x:v>
      </x:c>
      <x:c r="AF574" s="9" t="str">
        <x:v>Play Meter ranked the arcade original ninth in July 1993.</x:v>
      </x:c>
      <x:c r="AG574" s="9" t="str">
        <x:v>Big-box original; later ALG/Digital Leisure jewel-case and Windows reissues (verify)</x:v>
      </x:c>
      <x:c r="AH574" s="9" t="str">
        <x:v>No verified current digital sale; original discs and legacy Digital Leisure editions (platforms vary).</x:v>
      </x:c>
      <x:c r="AI574" s="9" t="str">
        <x:v>Easy</x:v>
      </x:c>
      <x:c r="AJ574" s="9" t="str">
        <x:v>Original DOS/Windows discs bought secondhand; compatibility depends on the edition. Current official digital sale unverified.</x:v>
      </x:c>
      <x:c r="AK574" s="9" t="str">
        <x:v>PC year (verify). PriceCharting has no PC Games page at the obvious slug (redirected to search).</x:v>
      </x:c>
      <x:c r="AL574" s="10"/>
      <x:c r="AM574" s="10"/>
      <x:c r="AN574" s="10"/>
      <x:c r="AO574" s="9"/>
      <x:c r="AP574" s="11" t="str">
        <x:f>HYPERLINK("https://www.pricecharting.com/search-products?q=Crime+Patrol+pc+games&amp;type=prices","PriceCharting")</x:f>
        <x:v>PriceCharting</x:v>
      </x:c>
      <x:c r="AQ574" s="9"/>
      <x:c r="AR574" s="9"/>
      <x:c r="AS574" s="9"/>
      <x:c r="AT574" s="9"/>
      <x:c r="AU574" s="9" t="str">
        <x:v>No market</x:v>
      </x:c>
      <x:c r="AV574" s="9" t="str">
        <x:v>Not sold on Steam or GOG (checked 2026-10-25) and no PriceCharting listing.</x:v>
      </x:c>
      <x:c r="AW574" s="9"/>
      <x:c r="AX574" s="9"/>
      <x:c r="AY574" s="9" t="str">
        <x:v>67%</x:v>
      </x:c>
      <x:c r="AZ574" s="9" t="str">
        <x:v>3.6</x:v>
      </x:c>
      <x:c r="BA574" s="11" t="str">
        <x:f>HYPERLINK("https://www.mobygames.com/game/dos/crime-patrol","MobyGames")</x:f>
        <x:v>MobyGames</x:v>
      </x:c>
      <x:c r="BB574" s="9"/>
      <x:c r="BC574" s="9"/>
      <x:c r="BD574" s="9"/>
      <x:c r="BE574" s="11" t="str">
        <x:f>HYPERLINK("https://en.wikipedia.org/wiki/Crime_Patrol_(video_game)","Wikipedia")</x:f>
        <x:v>Wikipedia</x:v>
      </x:c>
      <x:c r="BF574" s="11" t="str">
        <x:f>HYPERLINK("https://backloggd.com/search/games/Crime%20Patrol/","Backloggd")</x:f>
        <x:v>Backloggd</x:v>
      </x:c>
      <x:c r="BG574" s="9"/>
      <x:c r="BH574" s="9"/>
      <x:c r="BI574" s="12" t="str">
        <x:v>No</x:v>
      </x:c>
      <x:c r="BJ574" s="12" t="str"/>
      <x:c r="BK574" s="12" t="str">
        <x:v>No</x:v>
      </x:c>
      <x:c r="BL574" s="12" t="str"/>
      <x:c r="BM574" s="12" t="str"/>
      <x:c r="BN574" s="12" t="str"/>
      <x:c r="BO574" s="12" t="str"/>
      <x:c r="BP574" s="12" t="str"/>
      <x:c r="BQ574" s="12" t="str"/>
    </x:row>
    <x:row r="575">
      <x:c r="A575" s="9" t="str">
        <x:v>pc-45</x:v>
      </x:c>
      <x:c r="B575" s="9" t="str">
        <x:v>crime-patrol-2-drug-wars</x:v>
      </x:c>
      <x:c r="C575" s="9" t="str">
        <x:v>PC</x:v>
      </x:c>
      <x:c r="D575" s="9" t="str">
        <x:v>Crime Patrol 2: Drug Wars</x:v>
      </x:c>
      <x:c r="E575" s="9" t="str">
        <x:v>Drug Wars</x:v>
      </x:c>
      <x:c r="F575" s="9" t="str">
        <x:v>American Laser Games</x:v>
      </x:c>
      <x:c r="G575" s="9" t="str">
        <x:v>American Laser Games (NA)</x:v>
      </x:c>
      <x:c r="H575" s="9" t="n">
        <x:v>1995</x:v>
      </x:c>
      <x:c r="I575" s="9" t="str">
        <x:v>Yes</x:v>
      </x:c>
      <x:c r="J575" s="9" t="str">
        <x:v>No</x:v>
      </x:c>
      <x:c r="K575" s="9" t="str">
        <x:v>No</x:v>
      </x:c>
      <x:c r="L575" s="9" t="str">
        <x:v>No</x:v>
      </x:c>
      <x:c r="M575" s="9" t="str">
        <x:v>Light-gun rail shooter</x:v>
      </x:c>
      <x:c r="N575" s="9" t="str">
        <x:v>Live-action</x:v>
      </x:c>
      <x:c r="O575" s="9" t="n">
        <x:v>10</x:v>
      </x:c>
      <x:c r="P575" s="9" t="str">
        <x:v>American Laser Games</x:v>
      </x:c>
      <x:c r="Q575" s="9" t="str">
        <x:v>Released</x:v>
      </x:c>
      <x:c r="R575" s="9" t="str">
        <x:v>Arcade laserdisc game (American Laser Games)</x:v>
      </x:c>
      <x:c r="S575" s="9" t="str">
        <x:v>Arcade, 3DO, CD-i, DVD, LaserDisc</x:v>
      </x:c>
      <x:c r="T575" s="9" t="str">
        <x:v>Uncredited — verify</x:v>
      </x:c>
      <x:c r="U575" s="9" t="n">
        <x:v>1</x:v>
      </x:c>
      <x:c r="V575" s="9" t="str">
        <x:v>No</x:v>
      </x:c>
      <x:c r="W575" s="9" t="str">
        <x:v>386/486 (verify), 4-8 MB RAM, 2x CD-ROM, VGA/SVGA; mouse aims; ALG PC GameGun supported (verify); DOS</x:v>
      </x:c>
      <x:c r="X575" s="9" t="str">
        <x:v>Low</x:v>
      </x:c>
      <x:c r="Y575" s="9" t="str"/>
      <x:c r="Z575" s="9" t="str">
        <x:v>30–45 min</x:v>
      </x:c>
      <x:c r="AA575" s="9" t="str">
        <x:v>A DEA agent chases a drug baron from New Mexico to the jungle, with a partner who scolds you every death.</x:v>
      </x:c>
      <x:c r="AB575" s="9" t="str">
        <x:v>None known</x:v>
      </x:c>
      <x:c r="AC575" s="9" t="str">
        <x:v>Unknown — verify</x:v>
      </x:c>
      <x:c r="AD575" s="9" t="str">
        <x:v>Moderate; much easier with a mouse than a pad</x:v>
      </x:c>
      <x:c r="AE575" s="9" t="str">
        <x:v>Four locations, three missions each; one ending</x:v>
      </x:c>
      <x:c r="AF575" s="9" t="str">
        <x:v>ALG's seventh live-action shooter.</x:v>
      </x:c>
      <x:c r="AG575" s="9" t="str">
        <x:v>Big-box original; later ALG/Digital Leisure jewel-case and Windows reissues (verify)</x:v>
      </x:c>
      <x:c r="AH575" s="9" t="str">
        <x:v>No verified current digital sale; original discs and legacy Digital Leisure editions (platforms vary).</x:v>
      </x:c>
      <x:c r="AI575" s="9" t="str">
        <x:v>Easy</x:v>
      </x:c>
      <x:c r="AJ575" s="9" t="str">
        <x:v>Original DOS/Windows discs bought secondhand; compatibility depends on the edition. Current official digital sale unverified.</x:v>
      </x:c>
      <x:c r="AK575" s="9" t="str">
        <x:v>PC year (verify). PriceCharting has no PC Games page at the obvious slug (redirected to search).</x:v>
      </x:c>
      <x:c r="AL575" s="10"/>
      <x:c r="AM575" s="10"/>
      <x:c r="AN575" s="10"/>
      <x:c r="AO575" s="9"/>
      <x:c r="AP575" s="11" t="str">
        <x:f>HYPERLINK("https://www.pricecharting.com/search-products?q=Crime+Patrol+2%3A+Drug+Wars+pc+games&amp;type=prices","PriceCharting")</x:f>
        <x:v>PriceCharting</x:v>
      </x:c>
      <x:c r="AQ575" s="9"/>
      <x:c r="AR575" s="9"/>
      <x:c r="AS575" s="9"/>
      <x:c r="AT575" s="9"/>
      <x:c r="AU575" s="9" t="str">
        <x:v>No market</x:v>
      </x:c>
      <x:c r="AV575" s="9" t="str">
        <x:v>Not sold on Steam or GOG (checked 2026-10-25) and no PriceCharting listing.</x:v>
      </x:c>
      <x:c r="AW575" s="9"/>
      <x:c r="AX575" s="9"/>
      <x:c r="AY575" s="9" t="str">
        <x:v>46%</x:v>
      </x:c>
      <x:c r="AZ575" s="9" t="str">
        <x:v>3.4</x:v>
      </x:c>
      <x:c r="BA575" s="11" t="str">
        <x:f>HYPERLINK("https://www.mobygames.com/game/dos/drug-wars","MobyGames")</x:f>
        <x:v>MobyGames</x:v>
      </x:c>
      <x:c r="BB575" s="9"/>
      <x:c r="BC575" s="9"/>
      <x:c r="BD575" s="9"/>
      <x:c r="BE575" s="11" t="str">
        <x:f>HYPERLINK("https://en.wikipedia.org/wiki/Crime_Patrol_2:_Drug_Wars","Wikipedia")</x:f>
        <x:v>Wikipedia</x:v>
      </x:c>
      <x:c r="BF575" s="11" t="str">
        <x:f>HYPERLINK("https://backloggd.com/search/games/Crime%20Patrol%202%3A%20Drug%20Wars/","Backloggd")</x:f>
        <x:v>Backloggd</x:v>
      </x:c>
      <x:c r="BG575" s="9"/>
      <x:c r="BH575" s="9"/>
      <x:c r="BI575" s="12" t="str">
        <x:v>No</x:v>
      </x:c>
      <x:c r="BJ575" s="12" t="str"/>
      <x:c r="BK575" s="12" t="str">
        <x:v>No</x:v>
      </x:c>
      <x:c r="BL575" s="12" t="str"/>
      <x:c r="BM575" s="12" t="str"/>
      <x:c r="BN575" s="12" t="str"/>
      <x:c r="BO575" s="12" t="str"/>
      <x:c r="BP575" s="12" t="str"/>
      <x:c r="BQ575" s="12" t="str"/>
    </x:row>
    <x:row r="576">
      <x:c r="A576" s="9" t="str">
        <x:v>pc-46</x:v>
      </x:c>
      <x:c r="B576" s="9" t="str">
        <x:v>the-last-bounty-hunter</x:v>
      </x:c>
      <x:c r="C576" s="9" t="str">
        <x:v>PC</x:v>
      </x:c>
      <x:c r="D576" s="9" t="str">
        <x:v>The Last Bounty Hunter</x:v>
      </x:c>
      <x:c r="E576" s="9" t="str"/>
      <x:c r="F576" s="9" t="str">
        <x:v>American Laser Games</x:v>
      </x:c>
      <x:c r="G576" s="9" t="str">
        <x:v>American Laser Games (NA)</x:v>
      </x:c>
      <x:c r="H576" s="9" t="n">
        <x:v>1995</x:v>
      </x:c>
      <x:c r="I576" s="9" t="str">
        <x:v>Yes</x:v>
      </x:c>
      <x:c r="J576" s="9" t="str">
        <x:v>No</x:v>
      </x:c>
      <x:c r="K576" s="9" t="str">
        <x:v>No</x:v>
      </x:c>
      <x:c r="L576" s="9" t="str">
        <x:v>No</x:v>
      </x:c>
      <x:c r="M576" s="9" t="str">
        <x:v>Light-gun rail shooter</x:v>
      </x:c>
      <x:c r="N576" s="9" t="str">
        <x:v>Live-action</x:v>
      </x:c>
      <x:c r="O576" s="9" t="n">
        <x:v>10</x:v>
      </x:c>
      <x:c r="P576" s="9" t="str">
        <x:v>American Laser Games</x:v>
      </x:c>
      <x:c r="Q576" s="9" t="str">
        <x:v>Released</x:v>
      </x:c>
      <x:c r="R576" s="9" t="str">
        <x:v>Arcade laserdisc game (American Laser Games)</x:v>
      </x:c>
      <x:c r="S576" s="9" t="str">
        <x:v>Arcade, 3DO, CD-i, DVD, Wii</x:v>
      </x:c>
      <x:c r="T576" s="9" t="str">
        <x:v>Wes Flowers (fast-draw champion); others uncredited</x:v>
      </x:c>
      <x:c r="U576" s="9" t="n">
        <x:v>1</x:v>
      </x:c>
      <x:c r="V576" s="9" t="str">
        <x:v>No</x:v>
      </x:c>
      <x:c r="W576" s="9" t="str">
        <x:v>386/486 (verify), 4-8 MB RAM, 2x CD-ROM, VGA/SVGA; mouse aims; ALG PC GameGun supported (verify); DOS</x:v>
      </x:c>
      <x:c r="X576" s="9" t="str">
        <x:v>Low</x:v>
      </x:c>
      <x:c r="Y576" s="9" t="str"/>
      <x:c r="Z576" s="9" t="str">
        <x:v>30–45 min</x:v>
      </x:c>
      <x:c r="AA576" s="9" t="str">
        <x:v>ALG's last Western: capture outlaws alive for bigger bounties, with random fast-draw showdowns.</x:v>
      </x:c>
      <x:c r="AB576" s="9" t="str">
        <x:v>None known</x:v>
      </x:c>
      <x:c r="AC576" s="9" t="str">
        <x:v>Unknown — verify</x:v>
      </x:c>
      <x:c r="AD576" s="9" t="str">
        <x:v>Moderate; much easier with a mouse than a pad</x:v>
      </x:c>
      <x:c r="AE576" s="9" t="str">
        <x:v>Ending varies with captures vs kills; random showdown order</x:v>
      </x:c>
      <x:c r="AF576" s="9" t="str">
        <x:v>Fast-draw champion Wes Flowers appears, foreshadowing Fast Draw Showdown.</x:v>
      </x:c>
      <x:c r="AG576" s="9" t="str">
        <x:v>Big-box original; later ALG/Digital Leisure jewel-case and Windows reissues (verify)</x:v>
      </x:c>
      <x:c r="AH576" s="9" t="str">
        <x:v>No verified current digital sale; original discs and legacy Digital Leisure editions (platforms vary).</x:v>
      </x:c>
      <x:c r="AI576" s="9" t="str">
        <x:v>Easy</x:v>
      </x:c>
      <x:c r="AJ576" s="9" t="str">
        <x:v>Original DOS/Windows discs bought secondhand; compatibility depends on the edition. Current official digital sale unverified.</x:v>
      </x:c>
      <x:c r="AK576" s="9" t="str">
        <x:v>PC year 1995 or 1996 (verify).</x:v>
      </x:c>
      <x:c r="AL576" s="10" t="n">
        <x:v>5.95</x:v>
      </x:c>
      <x:c r="AM576" s="10" t="n">
        <x:v>18.5</x:v>
      </x:c>
      <x:c r="AN576" s="10" t="n">
        <x:v>37</x:v>
      </x:c>
      <x:c r="AO576" s="9" t="str">
        <x:v>2026-10-24</x:v>
      </x:c>
      <x:c r="AP576" s="11" t="str">
        <x:f>HYPERLINK("https://www.pricecharting.com/game/pc-games/the-last-bounty-hunter","PriceCharting")</x:f>
        <x:v>PriceCharting</x:v>
      </x:c>
      <x:c r="AQ576" s="9"/>
      <x:c r="AR576" s="9"/>
      <x:c r="AS576" s="9"/>
      <x:c r="AT576" s="9"/>
      <x:c r="AU576" s="9"/>
      <x:c r="AV576" s="9"/>
      <x:c r="AW576" s="9"/>
      <x:c r="AX576" s="9"/>
      <x:c r="AY576" s="9" t="str">
        <x:v>46%</x:v>
      </x:c>
      <x:c r="AZ576" s="9"/>
      <x:c r="BA576" s="11" t="str">
        <x:f>HYPERLINK("https://www.mobygames.com/game/dos/last-bounty-hunter","MobyGames")</x:f>
        <x:v>MobyGames</x:v>
      </x:c>
      <x:c r="BB576" s="9"/>
      <x:c r="BC576" s="9"/>
      <x:c r="BD576" s="9"/>
      <x:c r="BE576" s="11" t="str">
        <x:f>HYPERLINK("https://en.wikipedia.org/wiki/The_Last_Bounty_Hunter","Wikipedia")</x:f>
        <x:v>Wikipedia</x:v>
      </x:c>
      <x:c r="BF576" s="11" t="str">
        <x:f>HYPERLINK("https://backloggd.com/search/games/The%20Last%20Bounty%20Hunter/","Backloggd")</x:f>
        <x:v>Backloggd</x:v>
      </x:c>
      <x:c r="BG576" s="9"/>
      <x:c r="BH576" s="9"/>
      <x:c r="BI576" s="12" t="str">
        <x:v>No</x:v>
      </x:c>
      <x:c r="BJ576" s="12" t="str"/>
      <x:c r="BK576" s="12" t="str">
        <x:v>No</x:v>
      </x:c>
      <x:c r="BL576" s="12" t="str"/>
      <x:c r="BM576" s="12" t="str"/>
      <x:c r="BN576" s="12" t="str"/>
      <x:c r="BO576" s="12" t="str"/>
      <x:c r="BP576" s="12" t="str"/>
      <x:c r="BQ576" s="12" t="str"/>
    </x:row>
    <x:row r="577">
      <x:c r="A577" s="9" t="str">
        <x:v>pc-47</x:v>
      </x:c>
      <x:c r="B577" s="9" t="str">
        <x:v>dragons-lair</x:v>
      </x:c>
      <x:c r="C577" s="9" t="str">
        <x:v>PC</x:v>
      </x:c>
      <x:c r="D577" s="9" t="str">
        <x:v>Dragon's Lair</x:v>
      </x:c>
      <x:c r="E577" s="9" t="str"/>
      <x:c r="F577" s="9" t="str">
        <x:v>ReadySoft (port); Don Bluth / Cinematronics original</x:v>
      </x:c>
      <x:c r="G577" s="9" t="str">
        <x:v>ReadySoft (NA/EU)</x:v>
      </x:c>
      <x:c r="H577" s="9" t="n">
        <x:v>1994</x:v>
      </x:c>
      <x:c r="I577" s="9" t="str">
        <x:v>Yes</x:v>
      </x:c>
      <x:c r="J577" s="9" t="str">
        <x:v>No</x:v>
      </x:c>
      <x:c r="K577" s="9" t="str">
        <x:v>Yes</x:v>
      </x:c>
      <x:c r="L577" s="9" t="str">
        <x:v>No</x:v>
      </x:c>
      <x:c r="M577" s="9" t="str">
        <x:v>QTE laserdisc action</x:v>
      </x:c>
      <x:c r="N577" s="9" t="str">
        <x:v>Animated</x:v>
      </x:c>
      <x:c r="O577" s="9" t="n">
        <x:v>10</x:v>
      </x:c>
      <x:c r="P577" s="9" t="str">
        <x:v>Laserdisc port</x:v>
      </x:c>
      <x:c r="Q577" s="9" t="str">
        <x:v>Released</x:v>
      </x:c>
      <x:c r="R577" s="9" t="str">
        <x:v>Arcade laserdisc game (Cinematronics/Don Bluth, 1983)</x:v>
      </x:c>
      <x:c r="S577" s="9" t="str">
        <x:v>Arcade, Sega CD, CD-i, 3DO, Jaguar CD, Mac, DVD, Blu-ray, Steam, Switch and many more</x:v>
      </x:c>
      <x:c r="T577" s="9" t="str">
        <x:v>Don Bluth (director/animator), Dan Molina (Dirk), Vera Lanpher-Pacheco (Daphne)</x:v>
      </x:c>
      <x:c r="U577" s="9" t="n">
        <x:v>1</x:v>
      </x:c>
      <x:c r="V577" s="9" t="str">
        <x:v>No</x:v>
      </x:c>
      <x:c r="W577" s="9" t="str">
        <x:v>386/486 (verify), 4 MB RAM, 1x-2x CD-ROM, VGA/SVGA; DOS</x:v>
      </x:c>
      <x:c r="X577" s="9" t="str">
        <x:v>Low–Med</x:v>
      </x:c>
      <x:c r="Y577" s="9" t="str">
        <x:v>Digital Leisure claims on the animation/score are possible</x:v>
      </x:c>
      <x:c r="Z577" s="9" t="str">
        <x:v>15–30 min</x:v>
      </x:c>
      <x:c r="AA577" s="9" t="str">
        <x:v>Bluth's 1983 laserdisc classic in full animation on a PC CD-ROM, a step up from the cut-down floppy version.</x:v>
      </x:c>
      <x:c r="AB577" s="9" t="str">
        <x:v>None known</x:v>
      </x:c>
      <x:c r="AC577" s="9" t="str">
        <x:v>Unknown — verify</x:v>
      </x:c>
      <x:c r="AD577" s="9" t="str">
        <x:v>Hard; memorisation</x:v>
      </x:c>
      <x:c r="AE577" s="9" t="str">
        <x:v>One ending (rescue Daphne)</x:v>
      </x:c>
      <x:c r="AF577" s="9" t="str">
        <x:v>ReadySoft first squeezed Dragon's Lair onto Amiga and DOS floppies; the CD-ROM release carries the full animation.</x:v>
      </x:c>
      <x:c r="AG577" s="9" t="str">
        <x:v>Earlier floppy versions (1990) are a different, cut-down product; CD-ROM big box; later Digital Leisure Windows/DVD-ROM editions</x:v>
      </x:c>
      <x:c r="AH577" s="9" t="str">
        <x:v>Yes (Steam — Dragon's Lair Trilogy, Digital Leisure)</x:v>
      </x:c>
      <x:c r="AI577" s="9" t="str">
        <x:v>Easy</x:v>
      </x:c>
      <x:c r="AJ577" s="9" t="str">
        <x:v>Steam (Digital Leisure Dragon's Lair Trilogy); original disc in DOSBox</x:v>
      </x:c>
      <x:c r="AK577" s="9" t="str">
        <x:v>eBay listing dates the ReadySoft PC CD-ROM 1994 (verify vs 1993). PriceCharting's listing may mix floppy and CD editions.</x:v>
      </x:c>
      <x:c r="AL577" s="10" t="n">
        <x:v>18.36</x:v>
      </x:c>
      <x:c r="AM577" s="10" t="n">
        <x:v>100</x:v>
      </x:c>
      <x:c r="AN577" s="10" t="n">
        <x:v>200</x:v>
      </x:c>
      <x:c r="AO577" s="9" t="str">
        <x:v>2026-10-24</x:v>
      </x:c>
      <x:c r="AP577" s="11" t="str">
        <x:f>HYPERLINK("https://www.pricecharting.com/game/pc-games/dragon's-lair","PriceCharting")</x:f>
        <x:v>PriceCharting</x:v>
      </x:c>
      <x:c r="AQ577" s="9" t="n">
        <x:v>9.99</x:v>
      </x:c>
      <x:c r="AR577" s="11" t="str">
        <x:v>Steam</x:v>
      </x:c>
      <x:c r="AS577" s="9" t="str">
        <x:f>HYPERLINK("https://store.steampowered.com/app/227380/","Store")</x:f>
        <x:v>Store</x:v>
      </x:c>
      <x:c r="AT577" s="9" t="str">
        <x:v>2026-10-24</x:v>
      </x:c>
      <x:c r="AU577" s="9"/>
      <x:c r="AV577" s="9"/>
      <x:c r="AW577" s="9"/>
      <x:c r="AX577" s="9"/>
      <x:c r="AY577" s="9" t="str">
        <x:v>37%</x:v>
      </x:c>
      <x:c r="AZ577" s="9"/>
      <x:c r="BA577" s="11" t="str">
        <x:f>HYPERLINK("https://www.mobygames.com/game/dos/dragons-lair","MobyGames")</x:f>
        <x:v>MobyGames</x:v>
      </x:c>
      <x:c r="BB577" s="9"/>
      <x:c r="BC577" s="9"/>
      <x:c r="BD577" s="9"/>
      <x:c r="BE577" s="11" t="str">
        <x:f>HYPERLINK("https://en.wikipedia.org/wiki/Dragon%27s_Lair_(1983_video_game)","Wikipedia")</x:f>
        <x:v>Wikipedia</x:v>
      </x:c>
      <x:c r="BF577" s="11" t="str">
        <x:f>HYPERLINK("https://backloggd.com/search/games/Dragon%27s%20Lair/","Backloggd")</x:f>
        <x:v>Backloggd</x:v>
      </x:c>
      <x:c r="BG577" s="9"/>
      <x:c r="BH577" s="9"/>
      <x:c r="BI577" s="12" t="str">
        <x:v>No</x:v>
      </x:c>
      <x:c r="BJ577" s="12" t="str"/>
      <x:c r="BK577" s="12" t="str">
        <x:v>No</x:v>
      </x:c>
      <x:c r="BL577" s="12" t="str"/>
      <x:c r="BM577" s="12" t="str"/>
      <x:c r="BN577" s="12" t="str"/>
      <x:c r="BO577" s="12" t="str"/>
      <x:c r="BP577" s="12" t="str"/>
      <x:c r="BQ577" s="12" t="str"/>
    </x:row>
    <x:row r="578">
      <x:c r="A578" s="9" t="str">
        <x:v>pc-48</x:v>
      </x:c>
      <x:c r="B578" s="9" t="str">
        <x:v>space-ace</x:v>
      </x:c>
      <x:c r="C578" s="9" t="str">
        <x:v>PC</x:v>
      </x:c>
      <x:c r="D578" s="9" t="str">
        <x:v>Space Ace</x:v>
      </x:c>
      <x:c r="E578" s="9" t="str"/>
      <x:c r="F578" s="9" t="str">
        <x:v>ReadySoft (port); Don Bluth / Cinematronics original</x:v>
      </x:c>
      <x:c r="G578" s="9" t="str">
        <x:v>ReadySoft (NA/EU)</x:v>
      </x:c>
      <x:c r="H578" s="9" t="n">
        <x:v>1994</x:v>
      </x:c>
      <x:c r="I578" s="9" t="str">
        <x:v>Yes</x:v>
      </x:c>
      <x:c r="J578" s="9" t="str">
        <x:v>No</x:v>
      </x:c>
      <x:c r="K578" s="9" t="str">
        <x:v>Yes</x:v>
      </x:c>
      <x:c r="L578" s="9" t="str">
        <x:v>No</x:v>
      </x:c>
      <x:c r="M578" s="9" t="str">
        <x:v>QTE laserdisc action</x:v>
      </x:c>
      <x:c r="N578" s="9" t="str">
        <x:v>Animated</x:v>
      </x:c>
      <x:c r="O578" s="9" t="n">
        <x:v>10</x:v>
      </x:c>
      <x:c r="P578" s="9" t="str">
        <x:v>Laserdisc port</x:v>
      </x:c>
      <x:c r="Q578" s="9" t="str">
        <x:v>Released</x:v>
      </x:c>
      <x:c r="R578" s="9" t="str">
        <x:v>Arcade laserdisc game (Cinematronics/Don Bluth, 1984)</x:v>
      </x:c>
      <x:c r="S578" s="9" t="str">
        <x:v>Arcade, Amiga, ST, Mac, Sega CD, CD-i, 3DO, Jaguar CD, DVD, Blu-ray, Steam, Switch</x:v>
      </x:c>
      <x:c r="T578" s="9" t="str">
        <x:v>Don Bluth (director); Michael Rye (narrator)</x:v>
      </x:c>
      <x:c r="U578" s="9" t="n">
        <x:v>1</x:v>
      </x:c>
      <x:c r="V578" s="9" t="str">
        <x:v>No</x:v>
      </x:c>
      <x:c r="W578" s="9" t="str">
        <x:v>386/486 (verify), 4 MB RAM, 1x-2x CD-ROM, VGA/SVGA; DOS</x:v>
      </x:c>
      <x:c r="X578" s="9" t="str">
        <x:v>Low–Med</x:v>
      </x:c>
      <x:c r="Y578" s="9" t="str">
        <x:v>Digital Leisure claims on the animation/score are possible</x:v>
      </x:c>
      <x:c r="Z578" s="9" t="str">
        <x:v>15–30 min</x:v>
      </x:c>
      <x:c r="AA578" s="9" t="str">
        <x:v>Bluth's second laserdisc epic, switching between Ace and Dexter mid-scene.</x:v>
      </x:c>
      <x:c r="AB578" s="9" t="str">
        <x:v>None known</x:v>
      </x:c>
      <x:c r="AC578" s="9" t="str">
        <x:v>Unknown — verify</x:v>
      </x:c>
      <x:c r="AD578" s="9" t="str">
        <x:v>Very hard; memorisation</x:v>
      </x:c>
      <x:c r="AE578" s="9" t="str">
        <x:v>Ace/Dexter scene choices; one ending (defeat Borf)</x:v>
      </x:c>
      <x:c r="AF578" s="9" t="str">
        <x:v>Like Dragon's Lair, it went to DOS floppies first; the CD-ROM carries the full animation.</x:v>
      </x:c>
      <x:c r="AG578" s="9" t="str">
        <x:v>Floppy version is a separate cut-down product; CD-ROM big box; Digital Leisure Windows reissues</x:v>
      </x:c>
      <x:c r="AH578" s="9" t="str">
        <x:v>Yes (Steam — Dragon's Lair Trilogy, Digital Leisure)</x:v>
      </x:c>
      <x:c r="AI578" s="9" t="str">
        <x:v>Easy</x:v>
      </x:c>
      <x:c r="AJ578" s="9" t="str">
        <x:v>Steam (Digital Leisure Dragon's Lair Trilogy); original disc in DOSBox</x:v>
      </x:c>
      <x:c r="AK578" s="9" t="str">
        <x:v>PC CD-ROM year (verify).</x:v>
      </x:c>
      <x:c r="AL578" s="10" t="n">
        <x:v>6.5</x:v>
      </x:c>
      <x:c r="AM578" s="10" t="n">
        <x:v>21.56</x:v>
      </x:c>
      <x:c r="AN578" s="10" t="n">
        <x:v>43</x:v>
      </x:c>
      <x:c r="AO578" s="9" t="str">
        <x:v>2026-10-24</x:v>
      </x:c>
      <x:c r="AP578" s="11" t="str">
        <x:f>HYPERLINK("https://www.pricecharting.com/game/pc-games/space-ace","PriceCharting")</x:f>
        <x:v>PriceCharting</x:v>
      </x:c>
      <x:c r="AQ578" s="9" t="n">
        <x:v>9.99</x:v>
      </x:c>
      <x:c r="AR578" s="11" t="str">
        <x:v>Steam</x:v>
      </x:c>
      <x:c r="AS578" s="9" t="str">
        <x:f>HYPERLINK("https://store.steampowered.com/app/240340/","Store")</x:f>
        <x:v>Store</x:v>
      </x:c>
      <x:c r="AT578" s="9" t="str">
        <x:v>2026-10-24</x:v>
      </x:c>
      <x:c r="AU578" s="9"/>
      <x:c r="AV578" s="9"/>
      <x:c r="AW578" s="9"/>
      <x:c r="AX578" s="9"/>
      <x:c r="AY578" s="9"/>
      <x:c r="AZ578" s="9"/>
      <x:c r="BA578" s="11" t="str">
        <x:f>HYPERLINK("https://www.mobygames.com/search/?q=Space+Ace","MobyGames")</x:f>
        <x:v>MobyGames</x:v>
      </x:c>
      <x:c r="BB578" s="9" t="str">
        <x:v>40%</x:v>
      </x:c>
      <x:c r="BC578" s="9" t="str">
        <x:v>average of 2 reviews on Wikipedia (Allgame, Next Generation)</x:v>
      </x:c>
      <x:c r="BD578" s="9" t="str">
        <x:f>HYPERLINK("https://en.wikipedia.org/wiki/Space_Ace","Source")</x:f>
        <x:v>Source</x:v>
      </x:c>
      <x:c r="BE578" s="11" t="str">
        <x:f>HYPERLINK("https://en.wikipedia.org/wiki/Space_Ace","Wikipedia")</x:f>
        <x:v>Wikipedia</x:v>
      </x:c>
      <x:c r="BF578" s="11" t="str">
        <x:f>HYPERLINK("https://backloggd.com/search/games/Space%20Ace/","Backloggd")</x:f>
        <x:v>Backloggd</x:v>
      </x:c>
      <x:c r="BG578" s="9"/>
      <x:c r="BH578" s="9"/>
      <x:c r="BI578" s="12" t="str">
        <x:v>No</x:v>
      </x:c>
      <x:c r="BJ578" s="12" t="str"/>
      <x:c r="BK578" s="12" t="str">
        <x:v>No</x:v>
      </x:c>
      <x:c r="BL578" s="12" t="str"/>
      <x:c r="BM578" s="12" t="str"/>
      <x:c r="BN578" s="12" t="str"/>
      <x:c r="BO578" s="12" t="str"/>
      <x:c r="BP578" s="12" t="str"/>
      <x:c r="BQ578" s="12" t="str"/>
    </x:row>
    <x:row r="579">
      <x:c r="A579" s="9" t="str">
        <x:v>pc-49</x:v>
      </x:c>
      <x:c r="B579" s="9" t="str">
        <x:v>dragons-lair-ii-time-warp</x:v>
      </x:c>
      <x:c r="C579" s="9" t="str">
        <x:v>PC</x:v>
      </x:c>
      <x:c r="D579" s="9" t="str">
        <x:v>Dragon's Lair II: Time Warp</x:v>
      </x:c>
      <x:c r="E579" s="9" t="str"/>
      <x:c r="F579" s="9" t="str">
        <x:v>ReadySoft (port); Don Bluth original</x:v>
      </x:c>
      <x:c r="G579" s="9" t="str">
        <x:v>ReadySoft (NA/EU)</x:v>
      </x:c>
      <x:c r="H579" s="9" t="n">
        <x:v>1994</x:v>
      </x:c>
      <x:c r="I579" s="9" t="str">
        <x:v>Yes</x:v>
      </x:c>
      <x:c r="J579" s="9" t="str">
        <x:v>No</x:v>
      </x:c>
      <x:c r="K579" s="9" t="str">
        <x:v>Yes</x:v>
      </x:c>
      <x:c r="L579" s="9" t="str">
        <x:v>No</x:v>
      </x:c>
      <x:c r="M579" s="9" t="str">
        <x:v>QTE laserdisc action</x:v>
      </x:c>
      <x:c r="N579" s="9" t="str">
        <x:v>Animated</x:v>
      </x:c>
      <x:c r="O579" s="9" t="n">
        <x:v>10</x:v>
      </x:c>
      <x:c r="P579" s="9" t="str">
        <x:v>Laserdisc port</x:v>
      </x:c>
      <x:c r="Q579" s="9" t="str">
        <x:v>Released</x:v>
      </x:c>
      <x:c r="R579" s="9" t="str">
        <x:v>Arcade laserdisc game (Leland/Don Bluth, 1991)</x:v>
      </x:c>
      <x:c r="S579" s="9" t="str">
        <x:v>Arcade, Amiga, Mac, DVD, Blu-ray, Steam, Switch; 3DO port unreleased</x:v>
      </x:c>
      <x:c r="T579" s="9" t="str">
        <x:v>Don Bluth (director/animator); Dirk, Daphne and Mordroc</x:v>
      </x:c>
      <x:c r="U579" s="9" t="n">
        <x:v>1</x:v>
      </x:c>
      <x:c r="V579" s="9" t="str">
        <x:v>No</x:v>
      </x:c>
      <x:c r="W579" s="9" t="str">
        <x:v>386/486 (verify), 4 MB RAM, 1x-2x CD-ROM, VGA/SVGA; DOS</x:v>
      </x:c>
      <x:c r="X579" s="9" t="str">
        <x:v>Low–Med</x:v>
      </x:c>
      <x:c r="Y579" s="9" t="str">
        <x:v>Digital Leisure claims on the animation/score are possible</x:v>
      </x:c>
      <x:c r="Z579" s="9" t="str">
        <x:v>20–40 min</x:v>
      </x:c>
      <x:c r="AA579" s="9" t="str">
        <x:v>The sequel Dirk fans rarely saw in arcades: time-travel set pieces through Wonderland and Beethoven.</x:v>
      </x:c>
      <x:c r="AB579" s="9" t="str">
        <x:v>None known</x:v>
      </x:c>
      <x:c r="AC579" s="9" t="str">
        <x:v>Unknown — verify</x:v>
      </x:c>
      <x:c r="AD579" s="9" t="str">
        <x:v>Very hard; long memorisation chains</x:v>
      </x:c>
      <x:c r="AE579" s="9" t="str">
        <x:v>One ending (defeat Mordroc)</x:v>
      </x:c>
      <x:c r="AF579" s="9" t="str">
        <x:v>Arcade release was tiny in 1991; ReadySoft's computer versions were how most players met it.</x:v>
      </x:c>
      <x:c r="AG579" s="9" t="str">
        <x:v>1990-dated floppy editions vs CD-ROM (verify); Digital Leisure reissues</x:v>
      </x:c>
      <x:c r="AH579" s="9" t="str">
        <x:v>Yes (Steam — Dragon's Lair Trilogy, Digital Leisure)</x:v>
      </x:c>
      <x:c r="AI579" s="9" t="str">
        <x:v>Easy</x:v>
      </x:c>
      <x:c r="AJ579" s="9" t="str">
        <x:v>Steam (Digital Leisure Dragon's Lair Trilogy); original disc in DOSBox</x:v>
      </x:c>
      <x:c r="AK579" s="9" t="str">
        <x:v>PC CD-ROM year 1994 (verify). PriceCharting PC price not fetched: the shared WebFetch budget ran out mid-batch; re-run the price step.</x:v>
      </x:c>
      <x:c r="AL579" s="10" t="n">
        <x:v>5.78</x:v>
      </x:c>
      <x:c r="AM579" s="10" t="n">
        <x:v>13.4</x:v>
      </x:c>
      <x:c r="AN579" s="10" t="n">
        <x:v>25.99</x:v>
      </x:c>
      <x:c r="AO579" s="9" t="str">
        <x:v>2026-10-24</x:v>
      </x:c>
      <x:c r="AP579" s="11" t="str">
        <x:f>HYPERLINK("https://www.pricecharting.com/game/pc-games/dragon%27s-lair-ii-time-warp","PriceCharting")</x:f>
        <x:v>PriceCharting</x:v>
      </x:c>
      <x:c r="AQ579" s="9" t="n">
        <x:v>9.99</x:v>
      </x:c>
      <x:c r="AR579" s="11" t="str">
        <x:v>Steam</x:v>
      </x:c>
      <x:c r="AS579" s="9" t="str">
        <x:f>HYPERLINK("https://store.steampowered.com/app/240360/","Store")</x:f>
        <x:v>Store</x:v>
      </x:c>
      <x:c r="AT579" s="9" t="str">
        <x:v>2026-10-24</x:v>
      </x:c>
      <x:c r="AU579" s="9"/>
      <x:c r="AV579" s="9"/>
      <x:c r="AW579" s="9"/>
      <x:c r="AX579" s="9"/>
      <x:c r="AY579" s="9"/>
      <x:c r="AZ579" s="9" t="str">
        <x:v>1.5</x:v>
      </x:c>
      <x:c r="BA579" s="11" t="str">
        <x:f>HYPERLINK("https://www.mobygames.com/game/dos/dragons-lair-ii-time-warp","MobyGames")</x:f>
        <x:v>MobyGames</x:v>
      </x:c>
      <x:c r="BB579" s="9" t="str">
        <x:v>70%</x:v>
      </x:c>
      <x:c r="BC579" s="9" t="str">
        <x:v>average of 1 review on Wikipedia (Allgame)</x:v>
      </x:c>
      <x:c r="BD579" s="9" t="str">
        <x:f>HYPERLINK("https://en.wikipedia.org/wiki/Dragon%27s_Lair_II%3A_Time_Warp","Source")</x:f>
        <x:v>Source</x:v>
      </x:c>
      <x:c r="BE579" s="11" t="str">
        <x:f>HYPERLINK("https://en.wikipedia.org/wiki/Dragon%27s_Lair_II:_Time_Warp","Wikipedia")</x:f>
        <x:v>Wikipedia</x:v>
      </x:c>
      <x:c r="BF579" s="11" t="str">
        <x:f>HYPERLINK("https://backloggd.com/search/games/Dragon%27s%20Lair%20II%3A%20Time%20Warp/","Backloggd")</x:f>
        <x:v>Backloggd</x:v>
      </x:c>
      <x:c r="BG579" s="9"/>
      <x:c r="BH579" s="9"/>
      <x:c r="BI579" s="12" t="str">
        <x:v>No</x:v>
      </x:c>
      <x:c r="BJ579" s="12" t="str"/>
      <x:c r="BK579" s="12" t="str">
        <x:v>No</x:v>
      </x:c>
      <x:c r="BL579" s="12" t="str"/>
      <x:c r="BM579" s="12" t="str"/>
      <x:c r="BN579" s="12" t="str"/>
      <x:c r="BO579" s="12" t="str"/>
      <x:c r="BP579" s="12" t="str"/>
      <x:c r="BQ579" s="12" t="str"/>
    </x:row>
    <x:row r="580">
      <x:c r="A580" s="9" t="str">
        <x:v>pc-50</x:v>
      </x:c>
      <x:c r="B580" s="9" t="str">
        <x:v>brain-dead-13</x:v>
      </x:c>
      <x:c r="C580" s="9" t="str">
        <x:v>PC</x:v>
      </x:c>
      <x:c r="D580" s="9" t="str">
        <x:v>Brain Dead 13</x:v>
      </x:c>
      <x:c r="E580" s="9" t="str"/>
      <x:c r="F580" s="9" t="str">
        <x:v>ReadySoft</x:v>
      </x:c>
      <x:c r="G580" s="9" t="str">
        <x:v>ReadySoft (NA/EU)</x:v>
      </x:c>
      <x:c r="H580" s="9" t="n">
        <x:v>1995</x:v>
      </x:c>
      <x:c r="I580" s="9" t="str">
        <x:v>Yes</x:v>
      </x:c>
      <x:c r="J580" s="9" t="str">
        <x:v>No</x:v>
      </x:c>
      <x:c r="K580" s="9" t="str">
        <x:v>Yes</x:v>
      </x:c>
      <x:c r="L580" s="9" t="str">
        <x:v>No</x:v>
      </x:c>
      <x:c r="M580" s="9" t="str">
        <x:v>QTE animated adventure</x:v>
      </x:c>
      <x:c r="N580" s="9" t="str">
        <x:v>Animated</x:v>
      </x:c>
      <x:c r="O580" s="9" t="n">
        <x:v>10</x:v>
      </x:c>
      <x:c r="P580" s="9" t="str">
        <x:v>Laserdisc port</x:v>
      </x:c>
      <x:c r="Q580" s="9" t="str">
        <x:v>Released</x:v>
      </x:c>
      <x:c r="R580" s="9" t="str">
        <x:v>Original production (ReadySoft, PC first)</x:v>
      </x:c>
      <x:c r="S580" s="9" t="str">
        <x:v>Mac, 3DO, PlayStation, Saturn, Jaguar CD, CD-i, iOS</x:v>
      </x:c>
      <x:c r="T580" s="9" t="str">
        <x:v>Voices: Riccardo Durante (Lance), Dave Quesnelle (Dr. Neurosis), Joe Giampapa (Fritz)</x:v>
      </x:c>
      <x:c r="U580" s="9" t="n">
        <x:v>1</x:v>
      </x:c>
      <x:c r="V580" s="9" t="str">
        <x:v>Yes (verify)</x:v>
      </x:c>
      <x:c r="W580" s="9" t="str">
        <x:v>486/33 (verify), 8 MB RAM, 2x CD-ROM, SVGA; DOS &amp; Windows 95</x:v>
      </x:c>
      <x:c r="X580" s="9" t="str">
        <x:v>Low</x:v>
      </x:c>
      <x:c r="Y580" s="9" t="str"/>
      <x:c r="Z580" s="9" t="str">
        <x:v>30–60 min</x:v>
      </x:c>
      <x:c r="AA580" s="9" t="str">
        <x:v>A Dragon's Lair-style cartoon from Toronto with the deranged Fritz chasing a TV repairman through a castle.</x:v>
      </x:c>
      <x:c r="AB580" s="9" t="str">
        <x:v>None known</x:v>
      </x:c>
      <x:c r="AC580" s="9" t="str">
        <x:v>Unknown — verify</x:v>
      </x:c>
      <x:c r="AD580" s="9" t="str">
        <x:v>Hard; trial-and-error death scenes</x:v>
      </x:c>
      <x:c r="AE580" s="9" t="str">
        <x:v>Non-linear castle; one ending (defeat Dr. Neurosis)</x:v>
      </x:c>
      <x:c r="AF580" s="9" t="str">
        <x:v>Made by ReadySoft after years porting Bluth's games; the PC version was the lead platform.</x:v>
      </x:c>
      <x:c r="AG580" s="9" t="str">
        <x:v>Big box CD-ROM (verify disc count)</x:v>
      </x:c>
      <x:c r="AH580" s="9" t="str">
        <x:v>No verified current digital sale; historical iOS edition and original discs.</x:v>
      </x:c>
      <x:c r="AI580" s="9" t="str">
        <x:v>Easy</x:v>
      </x:c>
      <x:c r="AJ580" s="9" t="str">
        <x:v>Original DOS/Windows discs bought secondhand; compatibility depends on the edition. Current official digital sale unverified.</x:v>
      </x:c>
      <x:c r="AK580" s="9" t="str">
        <x:v>PC disc count (verify). PriceCharting PC price not fetched: the shared WebFetch budget ran out mid-batch; re-run the price step.</x:v>
      </x:c>
      <x:c r="AL580" s="10" t="n">
        <x:v>12</x:v>
      </x:c>
      <x:c r="AM580" s="10" t="n">
        <x:v>42.57</x:v>
      </x:c>
      <x:c r="AN580" s="10" t="n">
        <x:v>99.98</x:v>
      </x:c>
      <x:c r="AO580" s="9" t="str">
        <x:v>2026-10-24</x:v>
      </x:c>
      <x:c r="AP580" s="11" t="str">
        <x:f>HYPERLINK("https://www.pricecharting.com/game/pc-games/brain-dead-13","PriceCharting")</x:f>
        <x:v>PriceCharting</x:v>
      </x:c>
      <x:c r="AQ580" s="9"/>
      <x:c r="AR580" s="9"/>
      <x:c r="AS580" s="9"/>
      <x:c r="AT580" s="9"/>
      <x:c r="AU580" s="9"/>
      <x:c r="AV580" s="9"/>
      <x:c r="AW580" s="9"/>
      <x:c r="AX580" s="9"/>
      <x:c r="AY580" s="9" t="str">
        <x:v>45%</x:v>
      </x:c>
      <x:c r="AZ580" s="9" t="str">
        <x:v>2.9</x:v>
      </x:c>
      <x:c r="BA580" s="11" t="str">
        <x:f>HYPERLINK("https://www.mobygames.com/game/dos/brain-dead-13","MobyGames")</x:f>
        <x:v>MobyGames</x:v>
      </x:c>
      <x:c r="BB580" s="9"/>
      <x:c r="BC580" s="9"/>
      <x:c r="BD580" s="9"/>
      <x:c r="BE580" s="11" t="str">
        <x:f>HYPERLINK("https://en.wikipedia.org/wiki/Brain_Dead_13","Wikipedia")</x:f>
        <x:v>Wikipedia</x:v>
      </x:c>
      <x:c r="BF580" s="11" t="str">
        <x:f>HYPERLINK("https://backloggd.com/search/games/Brain%20Dead%2013/","Backloggd")</x:f>
        <x:v>Backloggd</x:v>
      </x:c>
      <x:c r="BG580" s="9"/>
      <x:c r="BH580" s="9"/>
      <x:c r="BI580" s="12" t="str">
        <x:v>No</x:v>
      </x:c>
      <x:c r="BJ580" s="12" t="str"/>
      <x:c r="BK580" s="12" t="str">
        <x:v>No</x:v>
      </x:c>
      <x:c r="BL580" s="12" t="str"/>
      <x:c r="BM580" s="12" t="str"/>
      <x:c r="BN580" s="12" t="str"/>
      <x:c r="BO580" s="12" t="str"/>
      <x:c r="BP580" s="12" t="str"/>
      <x:c r="BQ580" s="12" t="str"/>
    </x:row>
    <x:row r="581">
      <x:c r="A581" s="9" t="str">
        <x:v>pc-51</x:v>
      </x:c>
      <x:c r="B581" s="9" t="str">
        <x:v>thayers-quest</x:v>
      </x:c>
      <x:c r="C581" s="9" t="str">
        <x:v>PC</x:v>
      </x:c>
      <x:c r="D581" s="9" t="str">
        <x:v>Kingdom: The Far Reaches</x:v>
      </x:c>
      <x:c r="E581" s="9" t="str">
        <x:v>Thayer's Quest (original 1984 laserdisc)</x:v>
      </x:c>
      <x:c r="F581" s="9" t="str">
        <x:v>Virtual Image Productions</x:v>
      </x:c>
      <x:c r="G581" s="9" t="str">
        <x:v>Interplay Productions (NA/EU)</x:v>
      </x:c>
      <x:c r="H581" s="9" t="n">
        <x:v>1995</x:v>
      </x:c>
      <x:c r="I581" s="9" t="str">
        <x:v>Yes</x:v>
      </x:c>
      <x:c r="J581" s="9" t="str">
        <x:v>No</x:v>
      </x:c>
      <x:c r="K581" s="9" t="str">
        <x:v>Yes</x:v>
      </x:c>
      <x:c r="L581" s="9" t="str">
        <x:v>No</x:v>
      </x:c>
      <x:c r="M581" s="9" t="str">
        <x:v>Animated adventure</x:v>
      </x:c>
      <x:c r="N581" s="9" t="str">
        <x:v>Animated</x:v>
      </x:c>
      <x:c r="O581" s="9" t="n">
        <x:v>9</x:v>
      </x:c>
      <x:c r="P581" s="9" t="str">
        <x:v>Laserdisc port</x:v>
      </x:c>
      <x:c r="Q581" s="9" t="str">
        <x:v>Released</x:v>
      </x:c>
      <x:c r="R581" s="9" t="str">
        <x:v>Thayer's Quest laserdisc (RDI Video Systems, 1984), re-edited with new voice-over and puzzles</x:v>
      </x:c>
      <x:c r="S581" s="9" t="str">
        <x:v>3DO, CD-i; GOG/Epic re-release</x:v>
      </x:c>
      <x:c r="T581" s="9" t="str">
        <x:v>Creator Rick Dyer; voice cast undocumented — verify</x:v>
      </x:c>
      <x:c r="U581" s="9" t="n">
        <x:v>1</x:v>
      </x:c>
      <x:c r="V581" s="9" t="str">
        <x:v>Yes</x:v>
      </x:c>
      <x:c r="W581" s="9" t="str">
        <x:v>486 (verify), 8 MB RAM, 2x CD-ROM, SVGA; DOS &amp; Windows</x:v>
      </x:c>
      <x:c r="X581" s="9" t="str">
        <x:v>Low</x:v>
      </x:c>
      <x:c r="Y581" s="9" t="str"/>
      <x:c r="Z581" s="9" t="str">
        <x:v>0.5–2 hr</x:v>
      </x:c>
      <x:c r="AA581" s="9" t="str">
        <x:v>A 1984 laserdisc fantasy cartoon resurrected as a point-and-click where one wrong item can doom the run.</x:v>
      </x:c>
      <x:c r="AB581" s="9" t="str">
        <x:v>None known</x:v>
      </x:c>
      <x:c r="AC581" s="9" t="str">
        <x:v>Unknown — verify</x:v>
      </x:c>
      <x:c r="AD581" s="9" t="str">
        <x:v>High trial-and-error; unwinnable states</x:v>
      </x:c>
      <x:c r="AE581" s="9" t="str">
        <x:v>One true ending plus many death animations</x:v>
      </x:c>
      <x:c r="AF581" s="9" t="str">
        <x:v>Thayer became Lathan Kandor and Sorsabal became Torlock for the 1995 release.</x:v>
      </x:c>
      <x:c r="AG581" s="9" t="str">
        <x:v>Unknown — verify</x:v>
      </x:c>
      <x:c r="AH581" s="9" t="str">
        <x:v>Yes (GOG, Epic — verify)</x:v>
      </x:c>
      <x:c r="AI581" s="9" t="str">
        <x:v>Easy</x:v>
      </x:c>
      <x:c r="AJ581" s="9" t="str">
        <x:v>GOG/Epic re-release (verify); original disc in DOSBox</x:v>
      </x:c>
      <x:c r="AK581" s="9" t="str">
        <x:v>PriceCharting PC price not fetched: the shared WebFetch budget ran out mid-batch; re-run the price step.</x:v>
      </x:c>
      <x:c r="AL581" s="10" t="n">
        <x:v>10</x:v>
      </x:c>
      <x:c r="AM581" s="10" t="n">
        <x:v>24.98</x:v>
      </x:c>
      <x:c r="AN581" s="10" t="n">
        <x:v>50</x:v>
      </x:c>
      <x:c r="AO581" s="9" t="str">
        <x:v>2026-10-24</x:v>
      </x:c>
      <x:c r="AP581" s="11" t="str">
        <x:f>HYPERLINK("https://www.pricecharting.com/game/pc-games/kingdom-the-far-reaches","PriceCharting")</x:f>
        <x:v>PriceCharting</x:v>
      </x:c>
      <x:c r="AQ581" s="9" t="n">
        <x:v>9.99</x:v>
      </x:c>
      <x:c r="AR581" s="11" t="str">
        <x:v>Steam</x:v>
      </x:c>
      <x:c r="AS581" s="9" t="str">
        <x:f>HYPERLINK("https://store.steampowered.com/app/700880/","Store")</x:f>
        <x:v>Store</x:v>
      </x:c>
      <x:c r="AT581" s="9" t="str">
        <x:v>2026-10-24</x:v>
      </x:c>
      <x:c r="AU581" s="9"/>
      <x:c r="AV581" s="9"/>
      <x:c r="AW581" s="9"/>
      <x:c r="AX581" s="9"/>
      <x:c r="AY581" s="9" t="str">
        <x:v>52%</x:v>
      </x:c>
      <x:c r="AZ581" s="9"/>
      <x:c r="BA581" s="11" t="str">
        <x:f>HYPERLINK("https://www.mobygames.com/game/dos/kingdom-the-far-reaches","MobyGames")</x:f>
        <x:v>MobyGames</x:v>
      </x:c>
      <x:c r="BB581" s="9"/>
      <x:c r="BC581" s="9"/>
      <x:c r="BD581" s="9"/>
      <x:c r="BE581" s="11" t="str">
        <x:f>HYPERLINK("https://en.wikipedia.org/wiki/Thayer%27s_Quest","Wikipedia")</x:f>
        <x:v>Wikipedia</x:v>
      </x:c>
      <x:c r="BF581" s="11" t="str">
        <x:f>HYPERLINK("https://backloggd.com/search/games/Kingdom%3A%20The%20Far%20Reaches/","Backloggd")</x:f>
        <x:v>Backloggd</x:v>
      </x:c>
      <x:c r="BG581" s="9"/>
      <x:c r="BH581" s="9"/>
      <x:c r="BI581" s="12" t="str">
        <x:v>No</x:v>
      </x:c>
      <x:c r="BJ581" s="12" t="str"/>
      <x:c r="BK581" s="12" t="str">
        <x:v>No</x:v>
      </x:c>
      <x:c r="BL581" s="12" t="str"/>
      <x:c r="BM581" s="12" t="str"/>
      <x:c r="BN581" s="12" t="str"/>
      <x:c r="BO581" s="12" t="str"/>
      <x:c r="BP581" s="12" t="str"/>
      <x:c r="BQ581" s="12" t="str"/>
    </x:row>
    <x:row r="582">
      <x:c r="A582" s="9" t="str">
        <x:v>pc-52</x:v>
      </x:c>
      <x:c r="B582" s="9" t="str">
        <x:v>kingdom-ii-shadoan</x:v>
      </x:c>
      <x:c r="C582" s="9" t="str">
        <x:v>PC</x:v>
      </x:c>
      <x:c r="D582" s="9" t="str">
        <x:v>Kingdom II: Shadoan</x:v>
      </x:c>
      <x:c r="E582" s="9" t="str">
        <x:v>Shadoan</x:v>
      </x:c>
      <x:c r="F582" s="9" t="str">
        <x:v>Virtual Image Productions</x:v>
      </x:c>
      <x:c r="G582" s="9" t="str">
        <x:v>Interplay Productions (NA/EU)</x:v>
      </x:c>
      <x:c r="H582" s="9" t="n">
        <x:v>1996</x:v>
      </x:c>
      <x:c r="I582" s="9" t="str">
        <x:v>Yes</x:v>
      </x:c>
      <x:c r="J582" s="9" t="str">
        <x:v>No</x:v>
      </x:c>
      <x:c r="K582" s="9" t="str">
        <x:v>Yes</x:v>
      </x:c>
      <x:c r="L582" s="9" t="str">
        <x:v>No</x:v>
      </x:c>
      <x:c r="M582" s="9" t="str">
        <x:v>Animated adventure</x:v>
      </x:c>
      <x:c r="N582" s="9" t="str">
        <x:v>Animated</x:v>
      </x:c>
      <x:c r="O582" s="9" t="n">
        <x:v>10</x:v>
      </x:c>
      <x:c r="P582" s="9" t="str">
        <x:v>FMV adventure</x:v>
      </x:c>
      <x:c r="Q582" s="9" t="str">
        <x:v>Released</x:v>
      </x:c>
      <x:c r="R582" s="9" t="str">
        <x:v>Original production (Virtual Image Productions)</x:v>
      </x:c>
      <x:c r="S582" s="9" t="str">
        <x:v>CD-i, Mac, DVD (2000); Epic and GOG re-releases</x:v>
      </x:c>
      <x:c r="T582" s="9" t="str">
        <x:v>Voice cast undocumented — verify</x:v>
      </x:c>
      <x:c r="U582" s="9" t="n">
        <x:v>1</x:v>
      </x:c>
      <x:c r="V582" s="9" t="str">
        <x:v>Unknown — verify</x:v>
      </x:c>
      <x:c r="W582" s="9" t="str">
        <x:v>486/66 (verify), 8 MB RAM, 2x CD-ROM, SVGA; DOS &amp; Windows 95</x:v>
      </x:c>
      <x:c r="X582" s="9" t="str">
        <x:v>Low</x:v>
      </x:c>
      <x:c r="Y582" s="9" t="str"/>
      <x:c r="Z582" s="9" t="str">
        <x:v>1–3 hr</x:v>
      </x:c>
      <x:c r="AA582" s="9" t="str">
        <x:v>A $3 million hand-drawn cartoon adventure with 300+ animators — Dragon's Lair with a story.</x:v>
      </x:c>
      <x:c r="AB582" s="9" t="str">
        <x:v>None known</x:v>
      </x:c>
      <x:c r="AC582" s="9" t="str">
        <x:v>Unknown — verify</x:v>
      </x:c>
      <x:c r="AD582" s="9" t="str">
        <x:v>Moderate-high; trial-and-error</x:v>
      </x:c>
      <x:c r="AE582" s="9" t="str">
        <x:v>Branching paths; one ending</x:v>
      </x:c>
      <x:c r="AF582" s="9" t="str">
        <x:v>Reportedly made in nine months for over $3 million; no third Kingdom followed.</x:v>
      </x:c>
      <x:c r="AG582" s="9" t="str">
        <x:v>Unknown — verify</x:v>
      </x:c>
      <x:c r="AH582" s="9" t="str">
        <x:v>Yes (Steam and GOG; 2026 re-release)</x:v>
      </x:c>
      <x:c r="AI582" s="9" t="str">
        <x:v>Easy</x:v>
      </x:c>
      <x:c r="AJ582" s="9" t="str">
        <x:v>Steam or GOG re-release (2026), or original secondhand PC discs.</x:v>
      </x:c>
      <x:c r="AK582" s="9" t="str">
        <x:v>PC disc count (verify). PriceCharting PC price not fetched: the shared WebFetch budget ran out mid-batch; re-run the price step.</x:v>
      </x:c>
      <x:c r="AL582" s="10" t="n">
        <x:v>9.67</x:v>
      </x:c>
      <x:c r="AM582" s="10" t="n">
        <x:v>24.14</x:v>
      </x:c>
      <x:c r="AN582" s="10" t="n">
        <x:v>15.92</x:v>
      </x:c>
      <x:c r="AO582" s="9" t="str">
        <x:v>2026-10-24</x:v>
      </x:c>
      <x:c r="AP582" s="11" t="str">
        <x:f>HYPERLINK("https://www.pricecharting.com/game/pc-games/kingdom-ii-shadoan","PriceCharting")</x:f>
        <x:v>PriceCharting</x:v>
      </x:c>
      <x:c r="AQ582" s="9" t="n">
        <x:v>9.99</x:v>
      </x:c>
      <x:c r="AR582" s="11" t="str">
        <x:v>GOG</x:v>
      </x:c>
      <x:c r="AS582" s="9" t="str">
        <x:f>HYPERLINK("https://www.gog.com/en/game/kingdom_ii_shadoan","Store")</x:f>
        <x:v>Store</x:v>
      </x:c>
      <x:c r="AT582" s="9" t="str">
        <x:v>2026-10-25</x:v>
      </x:c>
      <x:c r="AU582" s="9"/>
      <x:c r="AV582" s="9"/>
      <x:c r="AW582" s="9"/>
      <x:c r="AX582" s="9"/>
      <x:c r="AY582" s="9" t="str">
        <x:v>52%</x:v>
      </x:c>
      <x:c r="AZ582" s="9"/>
      <x:c r="BA582" s="11" t="str">
        <x:f>HYPERLINK("https://www.mobygames.com/game/dos/kingdom-ii-shadoan","MobyGames")</x:f>
        <x:v>MobyGames</x:v>
      </x:c>
      <x:c r="BB582" s="9"/>
      <x:c r="BC582" s="9"/>
      <x:c r="BD582" s="9"/>
      <x:c r="BE582" s="11" t="str">
        <x:f>HYPERLINK("https://en.wikipedia.org/wiki/Kingdom_II:_Shadoan","Wikipedia")</x:f>
        <x:v>Wikipedia</x:v>
      </x:c>
      <x:c r="BF582" s="11" t="str">
        <x:f>HYPERLINK("https://backloggd.com/search/games/Kingdom%20II%3A%20Shadoan/","Backloggd")</x:f>
        <x:v>Backloggd</x:v>
      </x:c>
      <x:c r="BG582" s="9"/>
      <x:c r="BH582" s="9"/>
      <x:c r="BI582" s="12" t="str">
        <x:v>No</x:v>
      </x:c>
      <x:c r="BJ582" s="12" t="str"/>
      <x:c r="BK582" s="12" t="str">
        <x:v>No</x:v>
      </x:c>
      <x:c r="BL582" s="12" t="str"/>
      <x:c r="BM582" s="12" t="str"/>
      <x:c r="BN582" s="12" t="str"/>
      <x:c r="BO582" s="12" t="str"/>
      <x:c r="BP582" s="12" t="str"/>
      <x:c r="BQ582" s="12" t="str"/>
    </x:row>
    <x:row r="583">
      <x:c r="A583" s="9" t="str">
        <x:v>pc-53</x:v>
      </x:c>
      <x:c r="B583" s="9" t="str">
        <x:v>sherlock-holmes-consulting-detective-vol-i</x:v>
      </x:c>
      <x:c r="C583" s="9" t="str">
        <x:v>PC</x:v>
      </x:c>
      <x:c r="D583" s="9" t="str">
        <x:v>Sherlock Holmes: Consulting Detective Vol. I</x:v>
      </x:c>
      <x:c r="E583" s="9" t="str"/>
      <x:c r="F583" s="9" t="str">
        <x:v>ICOM Simulations</x:v>
      </x:c>
      <x:c r="G583" s="9" t="str">
        <x:v>ICOM Simulations / Viacom New Media (NA)</x:v>
      </x:c>
      <x:c r="H583" s="9" t="n">
        <x:v>1991</x:v>
      </x:c>
      <x:c r="I583" s="9" t="str">
        <x:v>Yes</x:v>
      </x:c>
      <x:c r="J583" s="9" t="str">
        <x:v>No</x:v>
      </x:c>
      <x:c r="K583" s="9" t="str">
        <x:v>No</x:v>
      </x:c>
      <x:c r="L583" s="9" t="str">
        <x:v>No</x:v>
      </x:c>
      <x:c r="M583" s="9" t="str">
        <x:v>Mystery adventure</x:v>
      </x:c>
      <x:c r="N583" s="9" t="str">
        <x:v>Live-action</x:v>
      </x:c>
      <x:c r="O583" s="9" t="n">
        <x:v>10</x:v>
      </x:c>
      <x:c r="P583" s="9" t="str">
        <x:v>FMV adventure</x:v>
      </x:c>
      <x:c r="Q583" s="9" t="str">
        <x:v>Released</x:v>
      </x:c>
      <x:c r="R583" s="9" t="str">
        <x:v>Original production, based on the 1981 board game</x:v>
      </x:c>
      <x:c r="S583" s="9" t="str">
        <x:v>FM Towns, Mac, TurboGrafx-CD, Sega CD, CD-i, 3DO (verify), iOS; Zojoi remaster</x:v>
      </x:c>
      <x:c r="T583" s="9" t="str">
        <x:v>Peter Farley (Holmes)</x:v>
      </x:c>
      <x:c r="U583" s="9" t="n">
        <x:v>1</x:v>
      </x:c>
      <x:c r="V583" s="9" t="str">
        <x:v>Yes</x:v>
      </x:c>
      <x:c r="W583" s="9" t="str">
        <x:v>386 (verify), 4 MB RAM, 1x CD-ROM, VGA; DOS (later Windows editions)</x:v>
      </x:c>
      <x:c r="X583" s="9" t="str">
        <x:v>Low</x:v>
      </x:c>
      <x:c r="Y583" s="9" t="str"/>
      <x:c r="Z583" s="9" t="str">
        <x:v>3–5 hr (3 cases)</x:v>
      </x:c>
      <x:c r="AA583" s="9" t="str">
        <x:v>One of the first FMV games on CD-ROM, and still a real detective game.</x:v>
      </x:c>
      <x:c r="AB583" s="9" t="str">
        <x:v>None known</x:v>
      </x:c>
      <x:c r="AC583" s="9" t="str">
        <x:v>Small video window, roughly quarter-screen (verify)</x:v>
      </x:c>
      <x:c r="AD583" s="9" t="str">
        <x:v>Medium — real deduction; scored against Holmes's route</x:v>
      </x:c>
      <x:c r="AE583" s="9" t="str">
        <x:v>Each case ends with a trial and score</x:v>
      </x:c>
      <x:c r="AF583" s="9" t="str">
        <x:v>Cases: The Mummy's Curse, The Mystified Murderess, The Tin Soldier. Filmed in 1990.</x:v>
      </x:c>
      <x:c r="AG583" s="9" t="str">
        <x:v>DOS and Windows editions (verify)</x:v>
      </x:c>
      <x:c r="AH583" s="9" t="str">
        <x:v>Yes (three Volume I cases restored separately on Steam by Zojoi)</x:v>
      </x:c>
      <x:c r="AI583" s="9" t="str">
        <x:v>Easy</x:v>
      </x:c>
      <x:c r="AJ583" s="9" t="str">
        <x:v>Steam Sherlock Holmes Consulting Detective Collection: Mummy’s Curse, Mystified Murderess, Tin Soldier; original DOS disc in DOSBox.</x:v>
      </x:c>
      <x:c r="AK583" s="9" t="str">
        <x:v>PC release 1991 sits just before the 1992 window; kept because it is an early CD-ROM FMV landmark. PriceCharting PC price not fetched: the shared WebFetch budget ran out mid-batch; re-run the price step.</x:v>
      </x:c>
      <x:c r="AL583" s="10" t="n">
        <x:v>7.99</x:v>
      </x:c>
      <x:c r="AM583" s="10" t="n">
        <x:v>24.99</x:v>
      </x:c>
      <x:c r="AN583" s="10" t="n">
        <x:v>38.57</x:v>
      </x:c>
      <x:c r="AO583" s="9" t="str">
        <x:v>2026-10-24</x:v>
      </x:c>
      <x:c r="AP583" s="11" t="str">
        <x:f>HYPERLINK("https://www.pricecharting.com/game/pc-games/sherlock-holmes-consulting-detective","PriceCharting")</x:f>
        <x:v>PriceCharting</x:v>
      </x:c>
      <x:c r="AQ583" s="9"/>
      <x:c r="AR583" s="9"/>
      <x:c r="AS583" s="9"/>
      <x:c r="AT583" s="9"/>
      <x:c r="AU583" s="9"/>
      <x:c r="AV583" s="9"/>
      <x:c r="AW583" s="9"/>
      <x:c r="AX583" s="9"/>
      <x:c r="AY583" s="9"/>
      <x:c r="AZ583" s="9"/>
      <x:c r="BA583" s="11" t="str">
        <x:f>HYPERLINK("https://www.mobygames.com/search/?q=Sherlock+Holmes%3A+Consulting+Detective+Vol.+I","MobyGames")</x:f>
        <x:v>MobyGames</x:v>
      </x:c>
      <x:c r="BB583" s="9" t="str">
        <x:v>40%</x:v>
      </x:c>
      <x:c r="BC583" s="9" t="str">
        <x:v>GameRankings, 1 review</x:v>
      </x:c>
      <x:c r="BD583" s="9" t="str">
        <x:f>HYPERLINK("https://web.archive.org/web/20191209015512id_/https://www.gamerankings.com/pc/582330-sherlock-holmes-consulting-detective-volume-i/","Source")</x:f>
        <x:v>Source</x:v>
      </x:c>
      <x:c r="BE583" s="11" t="str">
        <x:f>HYPERLINK("https://en.wikipedia.org/wiki/Sherlock_Holmes:_Consulting_Detective_(video_game)","Wikipedia")</x:f>
        <x:v>Wikipedia</x:v>
      </x:c>
      <x:c r="BF583" s="11" t="str">
        <x:f>HYPERLINK("https://backloggd.com/search/games/Sherlock%20Holmes%3A%20Consulting%20Detective%20Vol.%20I/","Backloggd")</x:f>
        <x:v>Backloggd</x:v>
      </x:c>
      <x:c r="BG583" s="9"/>
      <x:c r="BH583" s="9"/>
      <x:c r="BI583" s="12" t="str">
        <x:v>No</x:v>
      </x:c>
      <x:c r="BJ583" s="12" t="str"/>
      <x:c r="BK583" s="12" t="str">
        <x:v>No</x:v>
      </x:c>
      <x:c r="BL583" s="12" t="str"/>
      <x:c r="BM583" s="12" t="str"/>
      <x:c r="BN583" s="12" t="str"/>
      <x:c r="BO583" s="12" t="str"/>
      <x:c r="BP583" s="12" t="str"/>
      <x:c r="BQ583" s="12" t="str"/>
    </x:row>
    <x:row r="584">
      <x:c r="A584" s="9" t="str">
        <x:v>pc-54</x:v>
      </x:c>
      <x:c r="B584" s="9" t="str">
        <x:v>sherlock-holmes-consulting-detective-vol-ii</x:v>
      </x:c>
      <x:c r="C584" s="9" t="str">
        <x:v>PC</x:v>
      </x:c>
      <x:c r="D584" s="9" t="str">
        <x:v>Sherlock Holmes: Consulting Detective Vol. II</x:v>
      </x:c>
      <x:c r="E584" s="9" t="str"/>
      <x:c r="F584" s="9" t="str">
        <x:v>ICOM Simulations</x:v>
      </x:c>
      <x:c r="G584" s="9" t="str">
        <x:v>ICOM Simulations / Viacom New Media (NA)</x:v>
      </x:c>
      <x:c r="H584" s="9" t="n">
        <x:v>1992</x:v>
      </x:c>
      <x:c r="I584" s="9" t="str">
        <x:v>Yes</x:v>
      </x:c>
      <x:c r="J584" s="9" t="str">
        <x:v>No</x:v>
      </x:c>
      <x:c r="K584" s="9" t="str">
        <x:v>No</x:v>
      </x:c>
      <x:c r="L584" s="9" t="str">
        <x:v>No</x:v>
      </x:c>
      <x:c r="M584" s="9" t="str">
        <x:v>Mystery adventure</x:v>
      </x:c>
      <x:c r="N584" s="9" t="str">
        <x:v>Live-action</x:v>
      </x:c>
      <x:c r="O584" s="9" t="n">
        <x:v>10</x:v>
      </x:c>
      <x:c r="P584" s="9" t="str">
        <x:v>FMV adventure</x:v>
      </x:c>
      <x:c r="Q584" s="9" t="str">
        <x:v>Released</x:v>
      </x:c>
      <x:c r="R584" s="9" t="str">
        <x:v>Original production, based on the board game</x:v>
      </x:c>
      <x:c r="S584" s="9" t="str">
        <x:v>Mac, Sega CD, 3DO (verify)</x:v>
      </x:c>
      <x:c r="T584" s="9" t="str">
        <x:v>Peter Farley (Holmes)</x:v>
      </x:c>
      <x:c r="U584" s="9" t="n">
        <x:v>1</x:v>
      </x:c>
      <x:c r="V584" s="9" t="str">
        <x:v>Yes</x:v>
      </x:c>
      <x:c r="W584" s="9" t="str">
        <x:v>386 (verify), 4 MB RAM, 1x CD-ROM, VGA; DOS (later Windows editions)</x:v>
      </x:c>
      <x:c r="X584" s="9" t="str">
        <x:v>Low</x:v>
      </x:c>
      <x:c r="Y584" s="9" t="str"/>
      <x:c r="Z584" s="9" t="str">
        <x:v>3–5 hr (3 cases)</x:v>
      </x:c>
      <x:c r="AA584" s="9" t="str">
        <x:v>Three more filmed cases with Peter Farley's Holmes.</x:v>
      </x:c>
      <x:c r="AB584" s="9" t="str">
        <x:v>None known</x:v>
      </x:c>
      <x:c r="AC584" s="9" t="str">
        <x:v>Small video window, roughly quarter-screen (verify)</x:v>
      </x:c>
      <x:c r="AD584" s="9" t="str">
        <x:v>Medium — real deduction; scored against Holmes's route</x:v>
      </x:c>
      <x:c r="AE584" s="9" t="str">
        <x:v>Each case ends with a trial and score</x:v>
      </x:c>
      <x:c r="AF584" s="9" t="str">
        <x:v>Cases: The Two Lions, The Pilfered Paintings, The Murdered Munitions Magnate.</x:v>
      </x:c>
      <x:c r="AG584" s="9" t="str">
        <x:v>DOS and Windows editions (verify)</x:v>
      </x:c>
      <x:c r="AH584" s="9" t="str">
        <x:v>No (this volume); no restored edition verified. The later restoration covers a different volume.</x:v>
      </x:c>
      <x:c r="AI584" s="9" t="str">
        <x:v>Easy</x:v>
      </x:c>
      <x:c r="AJ584" s="9" t="str">
        <x:v>Original discs bought secondhand; use DOSBox for the DOS edition or compatible Windows 3.1 hardware/emulation for that edition.</x:v>
      </x:c>
      <x:c r="AK584" s="9" t="str">
        <x:v>PriceCharting PC price not fetched: the shared WebFetch budget ran out mid-batch; re-run the price step.</x:v>
      </x:c>
      <x:c r="AL584" s="10"/>
      <x:c r="AM584" s="10"/>
      <x:c r="AN584" s="10"/>
      <x:c r="AO584" s="9"/>
      <x:c r="AP584" s="11" t="str">
        <x:f>HYPERLINK("https://www.pricecharting.com/search-products?q=Sherlock+Holmes%3A+Consulting+Detective+Vol.+II+pc+games&amp;type=prices","PriceCharting")</x:f>
        <x:v>PriceCharting</x:v>
      </x:c>
      <x:c r="AQ584" s="9"/>
      <x:c r="AR584" s="9"/>
      <x:c r="AS584" s="9"/>
      <x:c r="AT584" s="9"/>
      <x:c r="AU584" s="9" t="str">
        <x:v>No market</x:v>
      </x:c>
      <x:c r="AV584" s="9" t="str">
        <x:v>Not sold on Steam or GOG (checked 2026-10-25) and no PriceCharting listing.</x:v>
      </x:c>
      <x:c r="AW584" s="9"/>
      <x:c r="AX584" s="9"/>
      <x:c r="AY584" s="9"/>
      <x:c r="AZ584" s="9"/>
      <x:c r="BA584" s="11" t="str">
        <x:f>HYPERLINK("https://www.mobygames.com/search/?q=Sherlock+Holmes%3A+Consulting+Detective+Vol.+II","MobyGames")</x:f>
        <x:v>MobyGames</x:v>
      </x:c>
      <x:c r="BB584" s="9"/>
      <x:c r="BC584" s="9"/>
      <x:c r="BD584" s="9"/>
      <x:c r="BE584" s="11" t="str">
        <x:f>HYPERLINK("https://en.wikipedia.org/wiki/Sherlock_Holmes:_Consulting_Detective_(video_game)","Wikipedia")</x:f>
        <x:v>Wikipedia</x:v>
      </x:c>
      <x:c r="BF584" s="11" t="str">
        <x:f>HYPERLINK("https://backloggd.com/search/games/Sherlock%20Holmes%3A%20Consulting%20Detective%20Vol.%20II/","Backloggd")</x:f>
        <x:v>Backloggd</x:v>
      </x:c>
      <x:c r="BG584" s="9"/>
      <x:c r="BH584" s="9"/>
      <x:c r="BI584" s="12" t="str">
        <x:v>No</x:v>
      </x:c>
      <x:c r="BJ584" s="12" t="str"/>
      <x:c r="BK584" s="12" t="str">
        <x:v>No</x:v>
      </x:c>
      <x:c r="BL584" s="12" t="str"/>
      <x:c r="BM584" s="12" t="str"/>
      <x:c r="BN584" s="12" t="str"/>
      <x:c r="BO584" s="12" t="str"/>
      <x:c r="BP584" s="12" t="str"/>
      <x:c r="BQ584" s="12" t="str"/>
    </x:row>
    <x:row r="585">
      <x:c r="A585" s="9" t="str">
        <x:v>pc-55</x:v>
      </x:c>
      <x:c r="B585" s="9" t="str">
        <x:v>sherlock-holmes-consulting-detective-vol-iii</x:v>
      </x:c>
      <x:c r="C585" s="9" t="str">
        <x:v>PC</x:v>
      </x:c>
      <x:c r="D585" s="9" t="str">
        <x:v>Sherlock Holmes: Consulting Detective Vol. III</x:v>
      </x:c>
      <x:c r="E585" s="9" t="str"/>
      <x:c r="F585" s="9" t="str">
        <x:v>ICOM Simulations</x:v>
      </x:c>
      <x:c r="G585" s="9" t="str">
        <x:v>ICOM Simulations / Viacom New Media (NA)</x:v>
      </x:c>
      <x:c r="H585" s="9" t="n">
        <x:v>1993</x:v>
      </x:c>
      <x:c r="I585" s="9" t="str">
        <x:v>Yes</x:v>
      </x:c>
      <x:c r="J585" s="9" t="str">
        <x:v>No</x:v>
      </x:c>
      <x:c r="K585" s="9" t="str">
        <x:v>No</x:v>
      </x:c>
      <x:c r="L585" s="9" t="str">
        <x:v>No</x:v>
      </x:c>
      <x:c r="M585" s="9" t="str">
        <x:v>Mystery adventure</x:v>
      </x:c>
      <x:c r="N585" s="9" t="str">
        <x:v>Live-action</x:v>
      </x:c>
      <x:c r="O585" s="9" t="n">
        <x:v>10</x:v>
      </x:c>
      <x:c r="P585" s="9" t="str">
        <x:v>FMV adventure</x:v>
      </x:c>
      <x:c r="Q585" s="9" t="str">
        <x:v>Released</x:v>
      </x:c>
      <x:c r="R585" s="9" t="str">
        <x:v>Original production, based on the board game</x:v>
      </x:c>
      <x:c r="S585" s="9" t="str">
        <x:v>Mac, Sega CD (JP only)</x:v>
      </x:c>
      <x:c r="T585" s="9" t="str">
        <x:v>Peter Farley (Holmes)</x:v>
      </x:c>
      <x:c r="U585" s="9" t="n">
        <x:v>1</x:v>
      </x:c>
      <x:c r="V585" s="9" t="str">
        <x:v>Yes</x:v>
      </x:c>
      <x:c r="W585" s="9" t="str">
        <x:v>386 (verify), 4 MB RAM, 1x CD-ROM, VGA; DOS (later Windows editions)</x:v>
      </x:c>
      <x:c r="X585" s="9" t="str">
        <x:v>Low</x:v>
      </x:c>
      <x:c r="Y585" s="9" t="str"/>
      <x:c r="Z585" s="9" t="str">
        <x:v>3–5 hr (3 cases)</x:v>
      </x:c>
      <x:c r="AA585" s="9" t="str">
        <x:v>The volume American Sega CD owners never got, in full English on PC.</x:v>
      </x:c>
      <x:c r="AB585" s="9" t="str">
        <x:v>None known</x:v>
      </x:c>
      <x:c r="AC585" s="9" t="str">
        <x:v>Small video window, roughly quarter-screen (verify)</x:v>
      </x:c>
      <x:c r="AD585" s="9" t="str">
        <x:v>Medium — real deduction; scored against Holmes's route</x:v>
      </x:c>
      <x:c r="AE585" s="9" t="str">
        <x:v>Each case ends with a trial and score</x:v>
      </x:c>
      <x:c r="AF585" s="9" t="str">
        <x:v>Cases: The Solicitous Solicitor, The Banker's Final Debt, The Thames Murders.</x:v>
      </x:c>
      <x:c r="AG585" s="9" t="str">
        <x:v>Unknown — verify</x:v>
      </x:c>
      <x:c r="AH585" s="9" t="str">
        <x:v>No (this volume); no restored edition verified. The later restoration covers a different volume.</x:v>
      </x:c>
      <x:c r="AI585" s="9" t="str">
        <x:v>Easy</x:v>
      </x:c>
      <x:c r="AJ585" s="9" t="str">
        <x:v>Original discs bought secondhand; use DOSBox for the DOS edition or compatible Windows 3.1 hardware/emulation for that edition.</x:v>
      </x:c>
      <x:c r="AK585" s="9" t="str">
        <x:v>PriceCharting PC price not fetched: the shared WebFetch budget ran out mid-batch; re-run the price step.</x:v>
      </x:c>
      <x:c r="AL585" s="10"/>
      <x:c r="AM585" s="10"/>
      <x:c r="AN585" s="10"/>
      <x:c r="AO585" s="9"/>
      <x:c r="AP585" s="11" t="str">
        <x:f>HYPERLINK("https://www.pricecharting.com/search-products?q=Sherlock+Holmes%3A+Consulting+Detective+Vol.+III+pc+games&amp;type=prices","PriceCharting")</x:f>
        <x:v>PriceCharting</x:v>
      </x:c>
      <x:c r="AQ585" s="9"/>
      <x:c r="AR585" s="9"/>
      <x:c r="AS585" s="9"/>
      <x:c r="AT585" s="9"/>
      <x:c r="AU585" s="9" t="str">
        <x:v>No market</x:v>
      </x:c>
      <x:c r="AV585" s="9" t="str">
        <x:v>Not sold on Steam or GOG (checked 2026-10-25) and no PriceCharting listing.</x:v>
      </x:c>
      <x:c r="AW585" s="9"/>
      <x:c r="AX585" s="9"/>
      <x:c r="AY585" s="9"/>
      <x:c r="AZ585" s="9"/>
      <x:c r="BA585" s="11" t="str">
        <x:f>HYPERLINK("https://www.mobygames.com/search/?q=Sherlock+Holmes%3A+Consulting+Detective+Vol.+III","MobyGames")</x:f>
        <x:v>MobyGames</x:v>
      </x:c>
      <x:c r="BB585" s="9"/>
      <x:c r="BC585" s="9"/>
      <x:c r="BD585" s="9"/>
      <x:c r="BE585" s="11" t="str">
        <x:f>HYPERLINK("https://en.wikipedia.org/wiki/Sherlock_Holmes:_Consulting_Detective_(video_game)","Wikipedia")</x:f>
        <x:v>Wikipedia</x:v>
      </x:c>
      <x:c r="BF585" s="11" t="str">
        <x:f>HYPERLINK("https://backloggd.com/search/games/Sherlock%20Holmes%3A%20Consulting%20Detective%20Vol.%20III/","Backloggd")</x:f>
        <x:v>Backloggd</x:v>
      </x:c>
      <x:c r="BG585" s="9"/>
      <x:c r="BH585" s="9"/>
      <x:c r="BI585" s="12" t="str">
        <x:v>No</x:v>
      </x:c>
      <x:c r="BJ585" s="12" t="str"/>
      <x:c r="BK585" s="12" t="str">
        <x:v>No</x:v>
      </x:c>
      <x:c r="BL585" s="12" t="str"/>
      <x:c r="BM585" s="12" t="str"/>
      <x:c r="BN585" s="12" t="str"/>
      <x:c r="BO585" s="12" t="str"/>
      <x:c r="BP585" s="12" t="str"/>
      <x:c r="BQ585" s="12" t="str"/>
    </x:row>
    <x:row r="586">
      <x:c r="A586" s="9" t="str">
        <x:v>pc-56</x:v>
      </x:c>
      <x:c r="B586" s="9" t="str">
        <x:v>dracula-unleashed</x:v>
      </x:c>
      <x:c r="C586" s="9" t="str">
        <x:v>PC</x:v>
      </x:c>
      <x:c r="D586" s="9" t="str">
        <x:v>Dracula Unleashed</x:v>
      </x:c>
      <x:c r="E586" s="9" t="str"/>
      <x:c r="F586" s="9" t="str">
        <x:v>ICOM Simulations</x:v>
      </x:c>
      <x:c r="G586" s="9" t="str">
        <x:v>Viacom New Media (NA)</x:v>
      </x:c>
      <x:c r="H586" s="9" t="n">
        <x:v>1993</x:v>
      </x:c>
      <x:c r="I586" s="9" t="str">
        <x:v>Yes</x:v>
      </x:c>
      <x:c r="J586" s="9" t="str">
        <x:v>No</x:v>
      </x:c>
      <x:c r="K586" s="9" t="str">
        <x:v>No</x:v>
      </x:c>
      <x:c r="L586" s="9" t="str">
        <x:v>No</x:v>
      </x:c>
      <x:c r="M586" s="9" t="str">
        <x:v>Mystery adventure</x:v>
      </x:c>
      <x:c r="N586" s="9" t="str">
        <x:v>Live-action</x:v>
      </x:c>
      <x:c r="O586" s="9" t="n">
        <x:v>10</x:v>
      </x:c>
      <x:c r="P586" s="9" t="str">
        <x:v>FMV adventure</x:v>
      </x:c>
      <x:c r="Q586" s="9" t="str">
        <x:v>Released</x:v>
      </x:c>
      <x:c r="R586" s="9" t="str">
        <x:v>Original production (sequel to Stoker's novel)</x:v>
      </x:c>
      <x:c r="S586" s="9" t="str">
        <x:v>Sega CD, Mac</x:v>
      </x:c>
      <x:c r="T586" s="9" t="str">
        <x:v>Unknown — verify</x:v>
      </x:c>
      <x:c r="U586" s="9" t="n">
        <x:v>1</x:v>
      </x:c>
      <x:c r="V586" s="9" t="str">
        <x:v>Yes</x:v>
      </x:c>
      <x:c r="W586" s="9" t="str">
        <x:v>386 (verify), 4 MB RAM, 1x CD-ROM, VGA; DOS; later Windows DVD-ROM edition (verify)</x:v>
      </x:c>
      <x:c r="X586" s="9" t="str">
        <x:v>Low</x:v>
      </x:c>
      <x:c r="Y586" s="9" t="str"/>
      <x:c r="Z586" s="9" t="str">
        <x:v>3–5 hr</x:v>
      </x:c>
      <x:c r="AA586" s="9" t="str">
        <x:v>A sequel to Dracula played as a strict timetable across Victorian London, with a hammy filmed cast.</x:v>
      </x:c>
      <x:c r="AB586" s="9" t="str">
        <x:v>None known</x:v>
      </x:c>
      <x:c r="AC586" s="9" t="str">
        <x:v>Unknown — verify</x:v>
      </x:c>
      <x:c r="AD586" s="9" t="str">
        <x:v>Hard — wrong place at the wrong time kills you</x:v>
      </x:c>
      <x:c r="AE586" s="9" t="str">
        <x:v>One success ending; many death endings</x:v>
      </x:c>
      <x:c r="AF586" s="9" t="str">
        <x:v>ICOM's follow-up to Sherlock Holmes, shot in Chicago.</x:v>
      </x:c>
      <x:c r="AG586" s="9" t="str">
        <x:v>CD-ROM big box; later DVD-ROM edition (verify)</x:v>
      </x:c>
      <x:c r="AH586" s="9" t="str">
        <x:v>No (verify)</x:v>
      </x:c>
      <x:c r="AI586" s="9" t="str">
        <x:v>Easy</x:v>
      </x:c>
      <x:c r="AJ586" s="9" t="str">
        <x:v>Original discs in DOSBox</x:v>
      </x:c>
      <x:c r="AK586" s="9" t="str">
        <x:v>PriceCharting PC price not fetched: the shared WebFetch budget ran out mid-batch; re-run the price step.</x:v>
      </x:c>
      <x:c r="AL586" s="10" t="n">
        <x:v>8.99</x:v>
      </x:c>
      <x:c r="AM586" s="10" t="n">
        <x:v>19.85</x:v>
      </x:c>
      <x:c r="AN586" s="10" t="n">
        <x:v>30.94</x:v>
      </x:c>
      <x:c r="AO586" s="9" t="str">
        <x:v>2026-10-24</x:v>
      </x:c>
      <x:c r="AP586" s="11" t="str">
        <x:f>HYPERLINK("https://www.pricecharting.com/game/pc-games/dracula-unleashed","PriceCharting")</x:f>
        <x:v>PriceCharting</x:v>
      </x:c>
      <x:c r="AQ586" s="9"/>
      <x:c r="AR586" s="9"/>
      <x:c r="AS586" s="9"/>
      <x:c r="AT586" s="9"/>
      <x:c r="AU586" s="9"/>
      <x:c r="AV586" s="9"/>
      <x:c r="AW586" s="9"/>
      <x:c r="AX586" s="9"/>
      <x:c r="AY586" s="9" t="str">
        <x:v>66%</x:v>
      </x:c>
      <x:c r="AZ586" s="9" t="str">
        <x:v>3.5</x:v>
      </x:c>
      <x:c r="BA586" s="11" t="str">
        <x:f>HYPERLINK("https://www.mobygames.com/game/dos/dracula-unleashed","MobyGames")</x:f>
        <x:v>MobyGames</x:v>
      </x:c>
      <x:c r="BB586" s="9"/>
      <x:c r="BC586" s="9"/>
      <x:c r="BD586" s="9"/>
      <x:c r="BE586" s="11" t="str">
        <x:f>HYPERLINK("https://en.wikipedia.org/wiki/Dracula_Unleashed","Wikipedia")</x:f>
        <x:v>Wikipedia</x:v>
      </x:c>
      <x:c r="BF586" s="11" t="str">
        <x:f>HYPERLINK("https://backloggd.com/search/games/Dracula%20Unleashed/","Backloggd")</x:f>
        <x:v>Backloggd</x:v>
      </x:c>
      <x:c r="BG586" s="9"/>
      <x:c r="BH586" s="9"/>
      <x:c r="BI586" s="12" t="str">
        <x:v>No</x:v>
      </x:c>
      <x:c r="BJ586" s="12" t="str"/>
      <x:c r="BK586" s="12" t="str">
        <x:v>No</x:v>
      </x:c>
      <x:c r="BL586" s="12" t="str"/>
      <x:c r="BM586" s="12" t="str"/>
      <x:c r="BN586" s="12" t="str"/>
      <x:c r="BO586" s="12" t="str"/>
      <x:c r="BP586" s="12" t="str"/>
      <x:c r="BQ586" s="12" t="str"/>
    </x:row>
    <x:row r="587">
      <x:c r="A587" s="9" t="str">
        <x:v>pc-57</x:v>
      </x:c>
      <x:c r="B587" s="9" t="str">
        <x:v>who-killed-sam-rupert</x:v>
      </x:c>
      <x:c r="C587" s="9" t="str">
        <x:v>PC</x:v>
      </x:c>
      <x:c r="D587" s="9" t="str">
        <x:v>Who Killed Sam Rupert?</x:v>
      </x:c>
      <x:c r="E587" s="9" t="str">
        <x:v>Virtual Murder 1</x:v>
      </x:c>
      <x:c r="F587" s="9" t="str">
        <x:v>Creative Multimedia Corporation</x:v>
      </x:c>
      <x:c r="G587" s="9" t="str">
        <x:v>Creative Multimedia Corporation (NA)</x:v>
      </x:c>
      <x:c r="H587" s="9" t="n">
        <x:v>1993</x:v>
      </x:c>
      <x:c r="I587" s="9" t="str">
        <x:v>Yes</x:v>
      </x:c>
      <x:c r="J587" s="9" t="str">
        <x:v>No</x:v>
      </x:c>
      <x:c r="K587" s="9" t="str">
        <x:v>No</x:v>
      </x:c>
      <x:c r="L587" s="9" t="str">
        <x:v>No</x:v>
      </x:c>
      <x:c r="M587" s="9" t="str">
        <x:v>Murder mystery</x:v>
      </x:c>
      <x:c r="N587" s="9" t="str">
        <x:v>Live-action</x:v>
      </x:c>
      <x:c r="O587" s="9" t="n">
        <x:v>5</x:v>
      </x:c>
      <x:c r="P587" s="9" t="str">
        <x:v>FMV adventure</x:v>
      </x:c>
      <x:c r="Q587" s="9" t="str">
        <x:v>Released</x:v>
      </x:c>
      <x:c r="R587" s="9" t="str">
        <x:v>Original production (Virtual Murder series)</x:v>
      </x:c>
      <x:c r="S587" s="9" t="str">
        <x:v>Mac</x:v>
      </x:c>
      <x:c r="T587" s="9" t="str">
        <x:v>Uncredited local actors — verify</x:v>
      </x:c>
      <x:c r="U587" s="9" t="n">
        <x:v>1</x:v>
      </x:c>
      <x:c r="V587" s="9" t="str">
        <x:v>Unknown — verify</x:v>
      </x:c>
      <x:c r="W587" s="9" t="str">
        <x:v>386/486 (verify), 4 MB RAM, 1x CD-ROM, SVGA; Windows 3.1</x:v>
      </x:c>
      <x:c r="X587" s="9" t="str">
        <x:v>Low</x:v>
      </x:c>
      <x:c r="Y587" s="9" t="str"/>
      <x:c r="Z587" s="9" t="str">
        <x:v>1–2 hr</x:v>
      </x:c>
      <x:c r="AA587" s="9" t="str">
        <x:v>You have six hours to interview filmed suspects and solve a restaurateur's murder — a whodunit in Video for Windows.</x:v>
      </x:c>
      <x:c r="AB587" s="9" t="str">
        <x:v>None known</x:v>
      </x:c>
      <x:c r="AC587" s="9" t="str">
        <x:v>Small Video for Windows / QuickTime window (verify)</x:v>
      </x:c>
      <x:c r="AD587" s="9" t="str">
        <x:v>Moderate; interview, gather evidence, accuse</x:v>
      </x:c>
      <x:c r="AE587" s="9" t="str">
        <x:v>Accuse the right suspect or fail; one solution</x:v>
      </x:c>
      <x:c r="AF587" s="9" t="str">
        <x:v>First of Creative Multimedia's Virtual Murder series of early CD-ROM whodunits.</x:v>
      </x:c>
      <x:c r="AG587" s="9" t="str">
        <x:v>Windows/Mac hybrid (verify)</x:v>
      </x:c>
      <x:c r="AH587" s="9" t="str">
        <x:v>No</x:v>
      </x:c>
      <x:c r="AI587" s="9" t="str">
        <x:v>Easy</x:v>
      </x:c>
      <x:c r="AJ587" s="9" t="str">
        <x:v>86Box/PCem for Windows 3.1, or the Mac edition</x:v>
      </x:c>
      <x:c r="AK587" s="9" t="str">
        <x:v>PriceCharting PC price not fetched: the shared WebFetch budget ran out mid-batch; re-run the price step.</x:v>
      </x:c>
      <x:c r="AL587" s="10"/>
      <x:c r="AM587" s="10"/>
      <x:c r="AN587" s="10"/>
      <x:c r="AO587" s="9"/>
      <x:c r="AP587" s="11" t="str">
        <x:f>HYPERLINK("https://www.pricecharting.com/search-products?q=Who+Killed+Sam+Rupert%3F+pc+games&amp;type=prices","PriceCharting")</x:f>
        <x:v>PriceCharting</x:v>
      </x:c>
      <x:c r="AQ587" s="9"/>
      <x:c r="AR587" s="9"/>
      <x:c r="AS587" s="9"/>
      <x:c r="AT587" s="9"/>
      <x:c r="AU587" s="9" t="str">
        <x:v>No market</x:v>
      </x:c>
      <x:c r="AV587" s="9" t="str">
        <x:v>Not sold on Steam or GOG (checked 2026-10-25) and no PriceCharting listing.</x:v>
      </x:c>
      <x:c r="AW587" s="9"/>
      <x:c r="AX587" s="9"/>
      <x:c r="AY587" s="9"/>
      <x:c r="AZ587" s="9"/>
      <x:c r="BA587" s="11" t="str">
        <x:f>HYPERLINK("https://www.mobygames.com/search/?q=Who+Killed+Sam+Rupert%3F","MobyGames")</x:f>
        <x:v>MobyGames</x:v>
      </x:c>
      <x:c r="BB587" s="9"/>
      <x:c r="BC587" s="9"/>
      <x:c r="BD587" s="9"/>
      <x:c r="BE587" s="11" t="str">
        <x:f>HYPERLINK("https://en.wikipedia.org/wiki/Who_Killed_Sam_Rupert%3F","Wikipedia")</x:f>
        <x:v>Wikipedia</x:v>
      </x:c>
      <x:c r="BF587" s="11" t="str">
        <x:f>HYPERLINK("https://backloggd.com/search/games/Who%20Killed%20Sam%20Rupert%3F/","Backloggd")</x:f>
        <x:v>Backloggd</x:v>
      </x:c>
      <x:c r="BG587" s="9"/>
      <x:c r="BH587" s="9"/>
      <x:c r="BI587" s="12" t="str">
        <x:v>No</x:v>
      </x:c>
      <x:c r="BJ587" s="12" t="str"/>
      <x:c r="BK587" s="12" t="str">
        <x:v>No</x:v>
      </x:c>
      <x:c r="BL587" s="12" t="str"/>
      <x:c r="BM587" s="12" t="str"/>
      <x:c r="BN587" s="12" t="str"/>
      <x:c r="BO587" s="12" t="str"/>
      <x:c r="BP587" s="12" t="str"/>
      <x:c r="BQ587" s="12" t="str"/>
    </x:row>
    <x:row r="588">
      <x:c r="A588" s="9" t="str">
        <x:v>pc-58</x:v>
      </x:c>
      <x:c r="B588" s="9" t="str">
        <x:v>the-magic-death</x:v>
      </x:c>
      <x:c r="C588" s="9" t="str">
        <x:v>PC</x:v>
      </x:c>
      <x:c r="D588" s="9" t="str">
        <x:v>The Magic Death</x:v>
      </x:c>
      <x:c r="E588" s="9" t="str">
        <x:v>The Magic Death: Virtual Murder 2</x:v>
      </x:c>
      <x:c r="F588" s="9" t="str">
        <x:v>Creative Multimedia Corporation</x:v>
      </x:c>
      <x:c r="G588" s="9" t="str">
        <x:v>Creative Multimedia Corporation (NA)</x:v>
      </x:c>
      <x:c r="H588" s="9" t="n">
        <x:v>1993</x:v>
      </x:c>
      <x:c r="I588" s="9" t="str">
        <x:v>Yes</x:v>
      </x:c>
      <x:c r="J588" s="9" t="str">
        <x:v>No</x:v>
      </x:c>
      <x:c r="K588" s="9" t="str">
        <x:v>No</x:v>
      </x:c>
      <x:c r="L588" s="9" t="str">
        <x:v>No</x:v>
      </x:c>
      <x:c r="M588" s="9" t="str">
        <x:v>Murder mystery</x:v>
      </x:c>
      <x:c r="N588" s="9" t="str">
        <x:v>Live-action</x:v>
      </x:c>
      <x:c r="O588" s="9" t="n">
        <x:v>5</x:v>
      </x:c>
      <x:c r="P588" s="9" t="str">
        <x:v>FMV adventure</x:v>
      </x:c>
      <x:c r="Q588" s="9" t="str">
        <x:v>Released</x:v>
      </x:c>
      <x:c r="R588" s="9" t="str">
        <x:v>Original production (Virtual Murder series)</x:v>
      </x:c>
      <x:c r="S588" s="9" t="str">
        <x:v>Mac</x:v>
      </x:c>
      <x:c r="T588" s="9" t="str">
        <x:v>Uncredited local actors — verify</x:v>
      </x:c>
      <x:c r="U588" s="9" t="n">
        <x:v>1</x:v>
      </x:c>
      <x:c r="V588" s="9" t="str">
        <x:v>Unknown — verify</x:v>
      </x:c>
      <x:c r="W588" s="9" t="str">
        <x:v>386/486 (verify), 4 MB RAM, 1x CD-ROM, SVGA; Windows 3.1</x:v>
      </x:c>
      <x:c r="X588" s="9" t="str">
        <x:v>Low</x:v>
      </x:c>
      <x:c r="Y588" s="9" t="str"/>
      <x:c r="Z588" s="9" t="str">
        <x:v>1–2 hr</x:v>
      </x:c>
      <x:c r="AA588" s="9" t="str">
        <x:v>The second Virtual Murder case swaps restaurants for witchcraft: question filmed suspects and run the forensics yourself.</x:v>
      </x:c>
      <x:c r="AB588" s="9" t="str">
        <x:v>None known</x:v>
      </x:c>
      <x:c r="AC588" s="9" t="str">
        <x:v>Small Video for Windows / QuickTime window (verify)</x:v>
      </x:c>
      <x:c r="AD588" s="9" t="str">
        <x:v>Moderate; interview, gather evidence, accuse</x:v>
      </x:c>
      <x:c r="AE588" s="9" t="str">
        <x:v>Accuse the right suspect or fail; one solution</x:v>
      </x:c>
      <x:c r="AF588" s="9" t="str">
        <x:v>Second Virtual Murder title; the Windows/Mac box dates it 1993.</x:v>
      </x:c>
      <x:c r="AG588" s="9" t="str">
        <x:v>Windows/Mac hybrid</x:v>
      </x:c>
      <x:c r="AH588" s="9" t="str">
        <x:v>No</x:v>
      </x:c>
      <x:c r="AI588" s="9" t="str">
        <x:v>Easy</x:v>
      </x:c>
      <x:c r="AJ588" s="9" t="str">
        <x:v>86Box/PCem for Windows 3.1, or the Mac edition</x:v>
      </x:c>
      <x:c r="AK588" s="9" t="str">
        <x:v>PriceCharting PC price not fetched: the shared WebFetch budget ran out mid-batch; re-run the price step.</x:v>
      </x:c>
      <x:c r="AL588" s="10"/>
      <x:c r="AM588" s="10"/>
      <x:c r="AN588" s="10"/>
      <x:c r="AO588" s="9"/>
      <x:c r="AP588" s="11" t="str">
        <x:f>HYPERLINK("https://www.pricecharting.com/search-products?q=The+Magic+Death+pc+games&amp;type=prices","PriceCharting")</x:f>
        <x:v>PriceCharting</x:v>
      </x:c>
      <x:c r="AQ588" s="9"/>
      <x:c r="AR588" s="9"/>
      <x:c r="AS588" s="9"/>
      <x:c r="AT588" s="9"/>
      <x:c r="AU588" s="9" t="str">
        <x:v>No market</x:v>
      </x:c>
      <x:c r="AV588" s="9" t="str">
        <x:v>Not sold on Steam or GOG (checked 2026-10-25) and no PriceCharting listing.</x:v>
      </x:c>
      <x:c r="AW588" s="9"/>
      <x:c r="AX588" s="9"/>
      <x:c r="AY588" s="9"/>
      <x:c r="AZ588" s="9"/>
      <x:c r="BA588" s="11" t="str">
        <x:f>HYPERLINK("https://www.mobygames.com/search/?q=The+Magic+Death","MobyGames")</x:f>
        <x:v>MobyGames</x:v>
      </x:c>
      <x:c r="BB588" s="9"/>
      <x:c r="BC588" s="9"/>
      <x:c r="BD588" s="9"/>
      <x:c r="BE588" s="11" t="str">
        <x:f>HYPERLINK("https://en.wikipedia.org/wiki/Virtual_Murder_(video_game_series)","Wikipedia")</x:f>
        <x:v>Wikipedia</x:v>
      </x:c>
      <x:c r="BF588" s="11" t="str">
        <x:f>HYPERLINK("https://backloggd.com/search/games/The%20Magic%20Death/","Backloggd")</x:f>
        <x:v>Backloggd</x:v>
      </x:c>
      <x:c r="BG588" s="9"/>
      <x:c r="BH588" s="9"/>
      <x:c r="BI588" s="12" t="str">
        <x:v>No</x:v>
      </x:c>
      <x:c r="BJ588" s="12" t="str"/>
      <x:c r="BK588" s="12" t="str">
        <x:v>No</x:v>
      </x:c>
      <x:c r="BL588" s="12" t="str"/>
      <x:c r="BM588" s="12" t="str"/>
      <x:c r="BN588" s="12" t="str"/>
      <x:c r="BO588" s="12" t="str"/>
      <x:c r="BP588" s="12" t="str"/>
      <x:c r="BQ588" s="12" t="str"/>
    </x:row>
    <x:row r="589">
      <x:c r="A589" s="9" t="str">
        <x:v>pc-59</x:v>
      </x:c>
      <x:c r="B589" s="9" t="str">
        <x:v>who-killed-brett-penance</x:v>
      </x:c>
      <x:c r="C589" s="9" t="str">
        <x:v>PC</x:v>
      </x:c>
      <x:c r="D589" s="9" t="str">
        <x:v>Who Killed Brett Penance?</x:v>
      </x:c>
      <x:c r="E589" s="9" t="str">
        <x:v>Who Killed Brett Penance? The Environmental Surfer</x:v>
      </x:c>
      <x:c r="F589" s="9" t="str">
        <x:v>Creative Multimedia Corporation</x:v>
      </x:c>
      <x:c r="G589" s="9" t="str">
        <x:v>Creative Multimedia Corporation (NA)</x:v>
      </x:c>
      <x:c r="H589" s="9" t="n">
        <x:v>1995</x:v>
      </x:c>
      <x:c r="I589" s="9" t="str">
        <x:v>Yes</x:v>
      </x:c>
      <x:c r="J589" s="9" t="str">
        <x:v>No</x:v>
      </x:c>
      <x:c r="K589" s="9" t="str">
        <x:v>No</x:v>
      </x:c>
      <x:c r="L589" s="9" t="str">
        <x:v>No</x:v>
      </x:c>
      <x:c r="M589" s="9" t="str">
        <x:v>Murder mystery</x:v>
      </x:c>
      <x:c r="N589" s="9" t="str">
        <x:v>Live-action</x:v>
      </x:c>
      <x:c r="O589" s="9" t="n">
        <x:v>5</x:v>
      </x:c>
      <x:c r="P589" s="9" t="str">
        <x:v>FMV adventure</x:v>
      </x:c>
      <x:c r="Q589" s="9" t="str">
        <x:v>Released</x:v>
      </x:c>
      <x:c r="R589" s="9" t="str">
        <x:v>Original production (Virtual Murder series)</x:v>
      </x:c>
      <x:c r="S589" s="9" t="str">
        <x:v>Mac</x:v>
      </x:c>
      <x:c r="T589" s="9" t="str">
        <x:v>Uncredited local actors — verify</x:v>
      </x:c>
      <x:c r="U589" s="9" t="n">
        <x:v>1</x:v>
      </x:c>
      <x:c r="V589" s="9" t="str">
        <x:v>Unknown — verify</x:v>
      </x:c>
      <x:c r="W589" s="9" t="str">
        <x:v>386/486 (verify), 4 MB RAM, 1x CD-ROM, SVGA; Windows 3.1</x:v>
      </x:c>
      <x:c r="X589" s="9" t="str">
        <x:v>Low</x:v>
      </x:c>
      <x:c r="Y589" s="9" t="str"/>
      <x:c r="Z589" s="9" t="str">
        <x:v>1–2 hr</x:v>
      </x:c>
      <x:c r="AA589" s="9" t="str">
        <x:v>A surfing environmentalist turns up dead and the suspects are on video waiting for you.</x:v>
      </x:c>
      <x:c r="AB589" s="9" t="str">
        <x:v>None known</x:v>
      </x:c>
      <x:c r="AC589" s="9" t="str">
        <x:v>Small Video for Windows / QuickTime window (verify)</x:v>
      </x:c>
      <x:c r="AD589" s="9" t="str">
        <x:v>Moderate; interview, gather evidence, accuse</x:v>
      </x:c>
      <x:c r="AE589" s="9" t="str">
        <x:v>Accuse the right suspect or fail; one solution</x:v>
      </x:c>
      <x:c r="AF589" s="9" t="str">
        <x:v>Later Virtual Murder entry; the series also included Who Killed Taylor French?</x:v>
      </x:c>
      <x:c r="AG589" s="9" t="str">
        <x:v>Unknown — verify</x:v>
      </x:c>
      <x:c r="AH589" s="9" t="str">
        <x:v>No</x:v>
      </x:c>
      <x:c r="AI589" s="9" t="str">
        <x:v>Easy</x:v>
      </x:c>
      <x:c r="AJ589" s="9" t="str">
        <x:v>86Box/PCem for Windows 3.1, or the Mac edition</x:v>
      </x:c>
      <x:c r="AK589" s="9" t="str">
        <x:v>Year 1994 or 1995 (verify). PriceCharting PC price not fetched: the shared WebFetch budget ran out mid-batch; re-run the price step.</x:v>
      </x:c>
      <x:c r="AL589" s="10"/>
      <x:c r="AM589" s="10" t="n">
        <x:v>3.4</x:v>
      </x:c>
      <x:c r="AN589" s="10" t="n">
        <x:v>6.79</x:v>
      </x:c>
      <x:c r="AO589" s="9" t="str">
        <x:v>2026-10-24</x:v>
      </x:c>
      <x:c r="AP589" s="11" t="str">
        <x:f>HYPERLINK("https://www.pricecharting.com/game/pc-games/who-killed-brett-penance-the-environmental-surfer","PriceCharting")</x:f>
        <x:v>PriceCharting</x:v>
      </x:c>
      <x:c r="AQ589" s="9"/>
      <x:c r="AR589" s="9"/>
      <x:c r="AS589" s="9"/>
      <x:c r="AT589" s="9"/>
      <x:c r="AU589" s="9"/>
      <x:c r="AV589" s="9"/>
      <x:c r="AW589" s="9"/>
      <x:c r="AX589" s="9"/>
      <x:c r="AY589" s="9"/>
      <x:c r="AZ589" s="9"/>
      <x:c r="BA589" s="11" t="str">
        <x:f>HYPERLINK("https://www.mobygames.com/search/?q=Who+Killed+Brett+Penance%3F","MobyGames")</x:f>
        <x:v>MobyGames</x:v>
      </x:c>
      <x:c r="BB589" s="9"/>
      <x:c r="BC589" s="9"/>
      <x:c r="BD589" s="9"/>
      <x:c r="BE589" s="11" t="str">
        <x:f>HYPERLINK("https://en.wikipedia.org/wiki/Virtual_Murder_(video_game_series)","Wikipedia")</x:f>
        <x:v>Wikipedia</x:v>
      </x:c>
      <x:c r="BF589" s="11" t="str">
        <x:f>HYPERLINK("https://backloggd.com/search/games/Who%20Killed%20Brett%20Penance%3F/","Backloggd")</x:f>
        <x:v>Backloggd</x:v>
      </x:c>
      <x:c r="BG589" s="9"/>
      <x:c r="BH589" s="9"/>
      <x:c r="BI589" s="12" t="str">
        <x:v>No</x:v>
      </x:c>
      <x:c r="BJ589" s="12" t="str"/>
      <x:c r="BK589" s="12" t="str">
        <x:v>No</x:v>
      </x:c>
      <x:c r="BL589" s="12" t="str"/>
      <x:c r="BM589" s="12" t="str"/>
      <x:c r="BN589" s="12" t="str"/>
      <x:c r="BO589" s="12" t="str"/>
      <x:c r="BP589" s="12" t="str"/>
      <x:c r="BQ589" s="12" t="str"/>
    </x:row>
    <x:row r="590">
      <x:c r="A590" s="9" t="str">
        <x:v>pc-60</x:v>
      </x:c>
      <x:c r="B590" s="9" t="str">
        <x:v>area-51</x:v>
      </x:c>
      <x:c r="C590" s="9" t="str">
        <x:v>PC</x:v>
      </x:c>
      <x:c r="D590" s="9" t="str">
        <x:v>Area 51</x:v>
      </x:c>
      <x:c r="E590" s="9" t="str"/>
      <x:c r="F590" s="9" t="str">
        <x:v>Mesa Logic / Atari Games (arcade); home ports by Tantalus and Perfect Entertainment</x:v>
      </x:c>
      <x:c r="G590" s="9" t="str">
        <x:v>GT Interactive (NA/EU) (verify)</x:v>
      </x:c>
      <x:c r="H590" s="9" t="n">
        <x:v>1996</x:v>
      </x:c>
      <x:c r="I590" s="9" t="str">
        <x:v>Yes</x:v>
      </x:c>
      <x:c r="J590" s="9" t="str">
        <x:v>No</x:v>
      </x:c>
      <x:c r="K590" s="9" t="str">
        <x:v>Yes</x:v>
      </x:c>
      <x:c r="L590" s="9" t="str">
        <x:v>No</x:v>
      </x:c>
      <x:c r="M590" s="9" t="str">
        <x:v>Light-gun rail shooter</x:v>
      </x:c>
      <x:c r="N590" s="9" t="str">
        <x:v>Live-action + pre-rendered CG</x:v>
      </x:c>
      <x:c r="O590" s="9" t="n">
        <x:v>9</x:v>
      </x:c>
      <x:c r="P590" s="9" t="str">
        <x:v>Pre-rendered CG</x:v>
      </x:c>
      <x:c r="Q590" s="9" t="str">
        <x:v>Released</x:v>
      </x:c>
      <x:c r="R590" s="9" t="str">
        <x:v>Atari Games arcade (1995)</x:v>
      </x:c>
      <x:c r="S590" s="9" t="str">
        <x:v>Arcade, PlayStation, Saturn</x:v>
      </x:c>
      <x:c r="T590" s="9" t="str">
        <x:v>Live-action STAAR team briefing actors — verify names</x:v>
      </x:c>
      <x:c r="U590" s="9" t="n">
        <x:v>1</x:v>
      </x:c>
      <x:c r="V590" s="9" t="str">
        <x:v>No</x:v>
      </x:c>
      <x:c r="W590" s="9" t="str">
        <x:v>Pentium 90 (verify), 16 MB RAM, 2x CD-ROM; Windows 95; mouse aims</x:v>
      </x:c>
      <x:c r="X590" s="9" t="str">
        <x:v>Low</x:v>
      </x:c>
      <x:c r="Y590" s="9" t="str"/>
      <x:c r="Z590" s="9" t="str">
        <x:v>20–30 min</x:v>
      </x:c>
      <x:c r="AA590" s="9" t="str">
        <x:v>The pizza-parlour gun game on Windows 95: shoot alien-infected soldiers over streamed CG of a secret base.</x:v>
      </x:c>
      <x:c r="AB590" s="9" t="str">
        <x:v>Secret shooting codes (Kronn mode etc.) exist (verify inputs)</x:v>
      </x:c>
      <x:c r="AC590" s="9" t="str">
        <x:v>Unknown — verify</x:v>
      </x:c>
      <x:c r="AD590" s="9" t="str">
        <x:v>Easy with continues</x:v>
      </x:c>
      <x:c r="AE590" s="9" t="str">
        <x:v>One main ending</x:v>
      </x:c>
      <x:c r="AF590" s="9" t="str">
        <x:v>One of Atari Games' biggest late arcade hits.</x:v>
      </x:c>
      <x:c r="AG590" s="9" t="str">
        <x:v>Later paired with Maximum Force in a PC double pack (verify)</x:v>
      </x:c>
      <x:c r="AH590" s="9" t="str">
        <x:v>No</x:v>
      </x:c>
      <x:c r="AI590" s="9" t="str">
        <x:v>Easy</x:v>
      </x:c>
      <x:c r="AJ590" s="9" t="str">
        <x:v>Original disc on Windows 98-era hardware or 86Box</x:v>
      </x:c>
      <x:c r="AK590" s="9" t="str">
        <x:v>Windows NA release October 1996 (Wikipedia); PC publisher verify. PriceCharting PC price not fetched: the shared WebFetch budget ran out mid-batch; re-run the price step.</x:v>
      </x:c>
      <x:c r="AL590" s="10" t="n">
        <x:v>6.66</x:v>
      </x:c>
      <x:c r="AM590" s="10" t="n">
        <x:v>21.41</x:v>
      </x:c>
      <x:c r="AN590" s="10" t="n">
        <x:v>39.99</x:v>
      </x:c>
      <x:c r="AO590" s="9" t="str">
        <x:v>2026-10-24</x:v>
      </x:c>
      <x:c r="AP590" s="11" t="str">
        <x:f>HYPERLINK("https://www.pricecharting.com/game/pc-games/area-51","PriceCharting")</x:f>
        <x:v>PriceCharting</x:v>
      </x:c>
      <x:c r="AQ590" s="9"/>
      <x:c r="AR590" s="9"/>
      <x:c r="AS590" s="9"/>
      <x:c r="AT590" s="9"/>
      <x:c r="AU590" s="9"/>
      <x:c r="AV590" s="9"/>
      <x:c r="AW590" s="9"/>
      <x:c r="AX590" s="9"/>
      <x:c r="AY590" s="9" t="str">
        <x:v>52%</x:v>
      </x:c>
      <x:c r="AZ590" s="9" t="str">
        <x:v>3.4</x:v>
      </x:c>
      <x:c r="BA590" s="11" t="str">
        <x:f>HYPERLINK("https://www.mobygames.com/game/windows/area-51","MobyGames")</x:f>
        <x:v>MobyGames</x:v>
      </x:c>
      <x:c r="BB590" s="9"/>
      <x:c r="BC590" s="9"/>
      <x:c r="BD590" s="9"/>
      <x:c r="BE590" s="11" t="str">
        <x:f>HYPERLINK("https://en.wikipedia.org/wiki/Area_51_(1995_video_game)","Wikipedia")</x:f>
        <x:v>Wikipedia</x:v>
      </x:c>
      <x:c r="BF590" s="11" t="str">
        <x:f>HYPERLINK("https://backloggd.com/search/games/Area%2051/","Backloggd")</x:f>
        <x:v>Backloggd</x:v>
      </x:c>
      <x:c r="BG590" s="9"/>
      <x:c r="BH590" s="9"/>
      <x:c r="BI590" s="12" t="str">
        <x:v>No</x:v>
      </x:c>
      <x:c r="BJ590" s="12" t="str"/>
      <x:c r="BK590" s="12" t="str">
        <x:v>No</x:v>
      </x:c>
      <x:c r="BL590" s="12" t="str"/>
      <x:c r="BM590" s="12" t="str"/>
      <x:c r="BN590" s="12" t="str"/>
      <x:c r="BO590" s="12" t="str"/>
      <x:c r="BP590" s="12" t="str"/>
      <x:c r="BQ590" s="12" t="str"/>
    </x:row>
    <x:row r="591">
      <x:c r="A591" s="9" t="str">
        <x:v>pc-61</x:v>
      </x:c>
      <x:c r="B591" s="9" t="str">
        <x:v>maximum-force</x:v>
      </x:c>
      <x:c r="C591" s="9" t="str">
        <x:v>PC</x:v>
      </x:c>
      <x:c r="D591" s="9" t="str">
        <x:v>Maximum Force</x:v>
      </x:c>
      <x:c r="E591" s="9" t="str"/>
      <x:c r="F591" s="9" t="str">
        <x:v>Mesa Logic / Atari Games (arcade); Windows port by Perfect Entertainment</x:v>
      </x:c>
      <x:c r="G591" s="9" t="str">
        <x:v>GT Interactive (EU; Wikipedia lists no North American Windows release)</x:v>
      </x:c>
      <x:c r="H591" s="9" t="n">
        <x:v>1997</x:v>
      </x:c>
      <x:c r="I591" s="9" t="str">
        <x:v>Yes</x:v>
      </x:c>
      <x:c r="J591" s="9" t="str">
        <x:v>No</x:v>
      </x:c>
      <x:c r="K591" s="9" t="str">
        <x:v>Yes</x:v>
      </x:c>
      <x:c r="L591" s="9" t="str">
        <x:v>No</x:v>
      </x:c>
      <x:c r="M591" s="9" t="str">
        <x:v>Light-gun rail shooter</x:v>
      </x:c>
      <x:c r="N591" s="9" t="str">
        <x:v>Live-action + pre-rendered CG</x:v>
      </x:c>
      <x:c r="O591" s="9" t="n">
        <x:v>9</x:v>
      </x:c>
      <x:c r="P591" s="9" t="str">
        <x:v>Pre-rendered CG</x:v>
      </x:c>
      <x:c r="Q591" s="9" t="str">
        <x:v>Released</x:v>
      </x:c>
      <x:c r="R591" s="9" t="str">
        <x:v>Atari Games arcade (1997)</x:v>
      </x:c>
      <x:c r="S591" s="9" t="str">
        <x:v>Arcade, PlayStation, Saturn</x:v>
      </x:c>
      <x:c r="T591" s="9" t="str">
        <x:v>—</x:v>
      </x:c>
      <x:c r="U591" s="9" t="n">
        <x:v>1</x:v>
      </x:c>
      <x:c r="V591" s="9" t="str">
        <x:v>No</x:v>
      </x:c>
      <x:c r="W591" s="9" t="str">
        <x:v>Pentium (verify), 16 MB RAM, CD-ROM; Windows 95; mouse aims</x:v>
      </x:c>
      <x:c r="X591" s="9" t="str">
        <x:v>Low</x:v>
      </x:c>
      <x:c r="Y591" s="9" t="str"/>
      <x:c r="Z591" s="9" t="str">
        <x:v>20–30 min</x:v>
      </x:c>
      <x:c r="AA591" s="9" t="str">
        <x:v>Area 51's follow-up swaps aliens for terrorists, with more digitized goons over streamed video.</x:v>
      </x:c>
      <x:c r="AB591" s="9" t="str">
        <x:v>None known</x:v>
      </x:c>
      <x:c r="AC591" s="9" t="str">
        <x:v>Unknown — verify</x:v>
      </x:c>
      <x:c r="AD591" s="9" t="str">
        <x:v>Easy-moderate</x:v>
      </x:c>
      <x:c r="AE591" s="9" t="str">
        <x:v>Linear</x:v>
      </x:c>
      <x:c r="AF591" s="9" t="str">
        <x:v>Built on Area 51's tech and later sold alongside it in the Area 51 / Maximum Force duo cabinet.</x:v>
      </x:c>
      <x:c r="AG591" s="9" t="str">
        <x:v>Area 51 / Maximum Force double pack (verify)</x:v>
      </x:c>
      <x:c r="AH591" s="9" t="str">
        <x:v>No</x:v>
      </x:c>
      <x:c r="AI591" s="9" t="str">
        <x:v>Easy</x:v>
      </x:c>
      <x:c r="AJ591" s="9" t="str">
        <x:v>Original disc on Windows 98-era hardware or 86Box</x:v>
      </x:c>
      <x:c r="AK591" s="9" t="str">
        <x:v>PC release supported by a My Abandonware listing; year and publisher (verify). PriceCharting PC price not fetched: the shared WebFetch budget ran out mid-batch; re-run the price step.</x:v>
      </x:c>
      <x:c r="AL591" s="10"/>
      <x:c r="AM591" s="10"/>
      <x:c r="AN591" s="10"/>
      <x:c r="AO591" s="9"/>
      <x:c r="AP591" s="11" t="str">
        <x:f>HYPERLINK("https://www.pricecharting.com/search-products?q=Maximum+Force+pc+games&amp;type=prices","PriceCharting")</x:f>
        <x:v>PriceCharting</x:v>
      </x:c>
      <x:c r="AQ591" s="9"/>
      <x:c r="AR591" s="9"/>
      <x:c r="AS591" s="9"/>
      <x:c r="AT591" s="9"/>
      <x:c r="AU591" s="9" t="str">
        <x:v>No market</x:v>
      </x:c>
      <x:c r="AV591" s="9" t="str">
        <x:v>Not sold on Steam or GOG (checked 2026-10-25) and no PriceCharting listing.</x:v>
      </x:c>
      <x:c r="AW591" s="9"/>
      <x:c r="AX591" s="9"/>
      <x:c r="AY591" s="9"/>
      <x:c r="AZ591" s="9"/>
      <x:c r="BA591" s="11" t="str">
        <x:f>HYPERLINK("https://www.mobygames.com/search/?q=Maximum+Force","MobyGames")</x:f>
        <x:v>MobyGames</x:v>
      </x:c>
      <x:c r="BB591" s="9" t="str">
        <x:v>26%</x:v>
      </x:c>
      <x:c r="BC591" s="9" t="str">
        <x:v>average of 2 reviews on Wikipedia (PCGUK, PCZone)</x:v>
      </x:c>
      <x:c r="BD591" s="9" t="str">
        <x:f>HYPERLINK("https://en.wikipedia.org/wiki/Maximum_Force","Source")</x:f>
        <x:v>Source</x:v>
      </x:c>
      <x:c r="BE591" s="11" t="str">
        <x:f>HYPERLINK("https://en.wikipedia.org/wiki/Maximum_Force","Wikipedia")</x:f>
        <x:v>Wikipedia</x:v>
      </x:c>
      <x:c r="BF591" s="11" t="str">
        <x:f>HYPERLINK("https://backloggd.com/search/games/Maximum%20Force/","Backloggd")</x:f>
        <x:v>Backloggd</x:v>
      </x:c>
      <x:c r="BG591" s="9"/>
      <x:c r="BH591" s="9"/>
      <x:c r="BI591" s="12" t="str">
        <x:v>No</x:v>
      </x:c>
      <x:c r="BJ591" s="12" t="str"/>
      <x:c r="BK591" s="12" t="str">
        <x:v>No</x:v>
      </x:c>
      <x:c r="BL591" s="12" t="str"/>
      <x:c r="BM591" s="12" t="str"/>
      <x:c r="BN591" s="12" t="str"/>
      <x:c r="BO591" s="12" t="str"/>
      <x:c r="BP591" s="12" t="str"/>
      <x:c r="BQ591" s="12" t="str"/>
    </x:row>
    <x:row r="592">
      <x:c r="A592" s="9" t="str">
        <x:v>pc-62</x:v>
      </x:c>
      <x:c r="B592" s="9" t="str">
        <x:v>jeopardy-pc</x:v>
      </x:c>
      <x:c r="C592" s="9" t="str">
        <x:v>PC</x:v>
      </x:c>
      <x:c r="D592" s="9" t="str">
        <x:v>Jeopardy!</x:v>
      </x:c>
      <x:c r="E592" s="9" t="str"/>
      <x:c r="F592" s="9" t="str">
        <x:v>Artech Studios (verify)</x:v>
      </x:c>
      <x:c r="G592" s="9" t="str">
        <x:v>Hasbro Interactive (NA)</x:v>
      </x:c>
      <x:c r="H592" s="9" t="n">
        <x:v>1998</x:v>
      </x:c>
      <x:c r="I592" s="9" t="str">
        <x:v>Yes</x:v>
      </x:c>
      <x:c r="J592" s="9" t="str">
        <x:v>No</x:v>
      </x:c>
      <x:c r="K592" s="9" t="str">
        <x:v>No</x:v>
      </x:c>
      <x:c r="L592" s="9" t="str">
        <x:v>No</x:v>
      </x:c>
      <x:c r="M592" s="9" t="str">
        <x:v>Game show / trivia</x:v>
      </x:c>
      <x:c r="N592" s="9" t="str">
        <x:v>Live-action</x:v>
      </x:c>
      <x:c r="O592" s="9" t="n">
        <x:v>4</x:v>
      </x:c>
      <x:c r="P592" s="9" t="str">
        <x:v>Game show / trivia</x:v>
      </x:c>
      <x:c r="Q592" s="9" t="str">
        <x:v>Released</x:v>
      </x:c>
      <x:c r="R592" s="9" t="str">
        <x:v>TV game show</x:v>
      </x:c>
      <x:c r="S592" s="9" t="str">
        <x:v>Separate PC product; console Jeopardy! games on Sega CD, CD-i, PlayStation are different products</x:v>
      </x:c>
      <x:c r="T592" s="9" t="str">
        <x:v>Alex Trebek (filmed host clips)</x:v>
      </x:c>
      <x:c r="U592" s="9" t="n">
        <x:v>1</x:v>
      </x:c>
      <x:c r="V592" s="9" t="str">
        <x:v>Unknown — verify</x:v>
      </x:c>
      <x:c r="W592" s="9" t="str">
        <x:v>Pentium (verify), 16 MB RAM, CD-ROM; Windows 95/98</x:v>
      </x:c>
      <x:c r="X592" s="9" t="str">
        <x:v>Med</x:v>
      </x:c>
      <x:c r="Y592" s="9" t="str">
        <x:v>Show theme and branding</x:v>
      </x:c>
      <x:c r="Z592" s="9" t="str">
        <x:v>20–30 min per game</x:v>
      </x:c>
      <x:c r="AA592" s="9" t="str">
        <x:v>Alex Trebek reads your clues in streamed video on a Windows 95 PC.</x:v>
      </x:c>
      <x:c r="AB592" s="9" t="str">
        <x:v>None known</x:v>
      </x:c>
      <x:c r="AC592" s="9" t="str">
        <x:v>Unknown — verify</x:v>
      </x:c>
      <x:c r="AD592" s="9" t="str">
        <x:v>Depends on you</x:v>
      </x:c>
      <x:c r="AE592" s="9" t="str">
        <x:v>None; score-based</x:v>
      </x:c>
      <x:c r="AF592" s="9" t="str">
        <x:v>Hasbro's 1998 Jeopardy! and Wheel of Fortune shipped together and were often sold as a pack.</x:v>
      </x:c>
      <x:c r="AG592" s="9" t="str">
        <x:v>Jewel-case reissues; Jeopardy! 2nd Edition (2000) is a separate product</x:v>
      </x:c>
      <x:c r="AH592" s="9" t="str">
        <x:v>No</x:v>
      </x:c>
      <x:c r="AI592" s="9" t="str">
        <x:v>Easy</x:v>
      </x:c>
      <x:c r="AJ592" s="9" t="str">
        <x:v>Original disc on Windows 98-era hardware or 86Box</x:v>
      </x:c>
      <x:c r="AK592" s="9" t="str">
        <x:v>1998 Hasbro CD-ROM chosen as the PC product; developer (verify). An earlier 1994-era PC Jeopardy! may exist (verify). PriceCharting PC price not fetched: the shared WebFetch budget ran out mid-batch; re-run the price step.</x:v>
      </x:c>
      <x:c r="AL592" s="10" t="n">
        <x:v>4.08</x:v>
      </x:c>
      <x:c r="AM592" s="10" t="n">
        <x:v>10</x:v>
      </x:c>
      <x:c r="AN592" s="10" t="n">
        <x:v>9.99</x:v>
      </x:c>
      <x:c r="AO592" s="9" t="str">
        <x:v>2026-10-24</x:v>
      </x:c>
      <x:c r="AP592" s="11" t="str">
        <x:f>HYPERLINK("https://www.pricecharting.com/game/pc-games/jeopardy","PriceCharting")</x:f>
        <x:v>PriceCharting</x:v>
      </x:c>
      <x:c r="AQ592" s="9"/>
      <x:c r="AR592" s="9"/>
      <x:c r="AS592" s="9"/>
      <x:c r="AT592" s="9"/>
      <x:c r="AU592" s="9"/>
      <x:c r="AV592" s="9"/>
      <x:c r="AW592" s="9"/>
      <x:c r="AX592" s="9"/>
      <x:c r="AY592" s="9"/>
      <x:c r="AZ592" s="9" t="str">
        <x:v>5.0</x:v>
      </x:c>
      <x:c r="BA592" s="11" t="str">
        <x:f>HYPERLINK("https://www.mobygames.com/game/windows/jeopardy","MobyGames")</x:f>
        <x:v>MobyGames</x:v>
      </x:c>
      <x:c r="BB592" s="9" t="str">
        <x:v>74%</x:v>
      </x:c>
      <x:c r="BC592" s="9" t="str">
        <x:v>GameRankings, 4 reviews</x:v>
      </x:c>
      <x:c r="BD592" s="9" t="str">
        <x:f>HYPERLINK("https://web.archive.org/web/20191209014113id_/https://www.gamerankings.com/pc/63984-jeopardy/","Source")</x:f>
        <x:v>Source</x:v>
      </x:c>
      <x:c r="BE592" s="9"/>
      <x:c r="BF592" s="11" t="str">
        <x:f>HYPERLINK("https://backloggd.com/search/games/Jeopardy%21/","Backloggd")</x:f>
        <x:v>Backloggd</x:v>
      </x:c>
      <x:c r="BG592" s="9"/>
      <x:c r="BH592" s="9"/>
      <x:c r="BI592" s="12" t="str">
        <x:v>No</x:v>
      </x:c>
      <x:c r="BJ592" s="12" t="str"/>
      <x:c r="BK592" s="12" t="str">
        <x:v>No</x:v>
      </x:c>
      <x:c r="BL592" s="12" t="str"/>
      <x:c r="BM592" s="12" t="str"/>
      <x:c r="BN592" s="12" t="str"/>
      <x:c r="BO592" s="12" t="str"/>
      <x:c r="BP592" s="12" t="str"/>
      <x:c r="BQ592" s="12" t="str"/>
    </x:row>
    <x:row r="593">
      <x:c r="A593" s="9" t="str">
        <x:v>pc-63</x:v>
      </x:c>
      <x:c r="B593" s="9" t="str">
        <x:v>wheel-of-fortune-pc</x:v>
      </x:c>
      <x:c r="C593" s="9" t="str">
        <x:v>PC</x:v>
      </x:c>
      <x:c r="D593" s="9" t="str">
        <x:v>Wheel of Fortune</x:v>
      </x:c>
      <x:c r="E593" s="9" t="str"/>
      <x:c r="F593" s="9" t="str">
        <x:v>Artech Studios (verify)</x:v>
      </x:c>
      <x:c r="G593" s="9" t="str">
        <x:v>Hasbro Interactive (NA/EU, Glücksrad in Germany)</x:v>
      </x:c>
      <x:c r="H593" s="9" t="n">
        <x:v>1998</x:v>
      </x:c>
      <x:c r="I593" s="9" t="str">
        <x:v>Yes</x:v>
      </x:c>
      <x:c r="J593" s="9" t="str">
        <x:v>No</x:v>
      </x:c>
      <x:c r="K593" s="9" t="str">
        <x:v>Yes</x:v>
      </x:c>
      <x:c r="L593" s="9" t="str">
        <x:v>No</x:v>
      </x:c>
      <x:c r="M593" s="9" t="str">
        <x:v>Game show / word puzzle</x:v>
      </x:c>
      <x:c r="N593" s="9" t="str">
        <x:v>Live-action</x:v>
      </x:c>
      <x:c r="O593" s="9" t="n">
        <x:v>4</x:v>
      </x:c>
      <x:c r="P593" s="9" t="str">
        <x:v>Game show / trivia</x:v>
      </x:c>
      <x:c r="Q593" s="9" t="str">
        <x:v>Released</x:v>
      </x:c>
      <x:c r="R593" s="9" t="str">
        <x:v>TV game show</x:v>
      </x:c>
      <x:c r="S593" s="9" t="str">
        <x:v>PlayStation (1998, same Hasbro line); Sega CD version is a different product</x:v>
      </x:c>
      <x:c r="T593" s="9" t="str">
        <x:v>Vanna White (filmed clips)</x:v>
      </x:c>
      <x:c r="U593" s="9" t="n">
        <x:v>1</x:v>
      </x:c>
      <x:c r="V593" s="9" t="str">
        <x:v>Unknown — verify</x:v>
      </x:c>
      <x:c r="W593" s="9" t="str">
        <x:v>Pentium (verify), 16 MB RAM, CD-ROM; Windows 95/98</x:v>
      </x:c>
      <x:c r="X593" s="9" t="str">
        <x:v>Med</x:v>
      </x:c>
      <x:c r="Y593" s="9" t="str">
        <x:v>Show theme and branding</x:v>
      </x:c>
      <x:c r="Z593" s="9" t="str">
        <x:v>20–30 min per game</x:v>
      </x:c>
      <x:c r="AA593" s="9" t="str">
        <x:v>Vanna White turns the letters in streamed video on your Windows 95 PC.</x:v>
      </x:c>
      <x:c r="AB593" s="9" t="str">
        <x:v>None known</x:v>
      </x:c>
      <x:c r="AC593" s="9" t="str">
        <x:v>Unknown — verify</x:v>
      </x:c>
      <x:c r="AD593" s="9" t="str">
        <x:v>Easy</x:v>
      </x:c>
      <x:c r="AE593" s="9" t="str">
        <x:v>None; score-based</x:v>
      </x:c>
      <x:c r="AF593" s="9" t="str">
        <x:v>German edition Glücksrad was produced in a localized version of the same Hasbro game.</x:v>
      </x:c>
      <x:c r="AG593" s="9" t="str">
        <x:v>1998 first edition; 1999 jewel-case reissue; Glücksrad (DE)</x:v>
      </x:c>
      <x:c r="AH593" s="9" t="str">
        <x:v>No</x:v>
      </x:c>
      <x:c r="AI593" s="9" t="str">
        <x:v>Easy</x:v>
      </x:c>
      <x:c r="AJ593" s="9" t="str">
        <x:v>Original disc on Windows 98-era hardware or 86Box</x:v>
      </x:c>
      <x:c r="AK593" s="9" t="str">
        <x:v>Developer (verify). PriceCharting PC price not fetched: the shared WebFetch budget ran out mid-batch; re-run the price step.</x:v>
      </x:c>
      <x:c r="AL593" s="10" t="n">
        <x:v>3.38</x:v>
      </x:c>
      <x:c r="AM593" s="10" t="n">
        <x:v>10.61</x:v>
      </x:c>
      <x:c r="AN593" s="10" t="n">
        <x:v>16.55</x:v>
      </x:c>
      <x:c r="AO593" s="9" t="str">
        <x:v>2026-10-24</x:v>
      </x:c>
      <x:c r="AP593" s="11" t="str">
        <x:f>HYPERLINK("https://www.pricecharting.com/game/pc-games/wheel-of-fortune","PriceCharting")</x:f>
        <x:v>PriceCharting</x:v>
      </x:c>
      <x:c r="AQ593" s="9"/>
      <x:c r="AR593" s="9"/>
      <x:c r="AS593" s="9"/>
      <x:c r="AT593" s="9"/>
      <x:c r="AU593" s="9"/>
      <x:c r="AV593" s="9"/>
      <x:c r="AW593" s="9"/>
      <x:c r="AX593" s="9"/>
      <x:c r="AY593" s="9"/>
      <x:c r="AZ593" s="9" t="str">
        <x:v>3.1</x:v>
      </x:c>
      <x:c r="BA593" s="11" t="str">
        <x:f>HYPERLINK("https://www.mobygames.com/game/dos/wheel-of-fortune","MobyGames")</x:f>
        <x:v>MobyGames</x:v>
      </x:c>
      <x:c r="BB593" s="9" t="str">
        <x:v>64%</x:v>
      </x:c>
      <x:c r="BC593" s="9" t="str">
        <x:v>GameRankings, 4 reviews</x:v>
      </x:c>
      <x:c r="BD593" s="9" t="str">
        <x:f>HYPERLINK("https://web.archive.org/web/20191209012211id_/https://www.gamerankings.com/pc/68235-wheel-of-fortune/","Source")</x:f>
        <x:v>Source</x:v>
      </x:c>
      <x:c r="BE593" s="9"/>
      <x:c r="BF593" s="11" t="str">
        <x:f>HYPERLINK("https://backloggd.com/search/games/Wheel%20of%20Fortune/","Backloggd")</x:f>
        <x:v>Backloggd</x:v>
      </x:c>
      <x:c r="BG593" s="9"/>
      <x:c r="BH593" s="9"/>
      <x:c r="BI593" s="12" t="str">
        <x:v>No</x:v>
      </x:c>
      <x:c r="BJ593" s="12" t="str"/>
      <x:c r="BK593" s="12" t="str">
        <x:v>No</x:v>
      </x:c>
      <x:c r="BL593" s="12" t="str"/>
      <x:c r="BM593" s="12" t="str"/>
      <x:c r="BN593" s="12" t="str"/>
      <x:c r="BO593" s="12" t="str"/>
      <x:c r="BP593" s="12" t="str"/>
      <x:c r="BQ593" s="12" t="str"/>
    </x:row>
    <x:row r="594">
      <x:c r="A594" s="9" t="str">
        <x:v>pc-64</x:v>
      </x:c>
      <x:c r="B594" s="9" t="str">
        <x:v>star-wars-rebel-assault</x:v>
      </x:c>
      <x:c r="C594" s="9" t="str">
        <x:v>PC</x:v>
      </x:c>
      <x:c r="D594" s="9" t="str">
        <x:v>Star Wars: Rebel Assault</x:v>
      </x:c>
      <x:c r="E594" s="9" t="str">
        <x:v>Rebel Assault</x:v>
      </x:c>
      <x:c r="F594" s="9" t="str">
        <x:v>LucasArts</x:v>
      </x:c>
      <x:c r="G594" s="9" t="str">
        <x:v>LucasArts (NA), Electronic Arts / Softgold (EU)</x:v>
      </x:c>
      <x:c r="H594" s="9" t="n">
        <x:v>1993</x:v>
      </x:c>
      <x:c r="I594" s="9" t="str">
        <x:v>Yes</x:v>
      </x:c>
      <x:c r="J594" s="9" t="str">
        <x:v>Yes</x:v>
      </x:c>
      <x:c r="K594" s="9" t="str">
        <x:v>Yes</x:v>
      </x:c>
      <x:c r="L594" s="9" t="str">
        <x:v>No</x:v>
      </x:c>
      <x:c r="M594" s="9" t="str">
        <x:v>Rail shooter</x:v>
      </x:c>
      <x:c r="N594" s="9" t="str">
        <x:v>Live-action + pre-rendered CG</x:v>
      </x:c>
      <x:c r="O594" s="9" t="n">
        <x:v>9</x:v>
      </x:c>
      <x:c r="P594" s="9" t="str">
        <x:v>Pre-rendered CG</x:v>
      </x:c>
      <x:c r="Q594" s="9" t="str">
        <x:v>Released</x:v>
      </x:c>
      <x:c r="R594" s="9" t="str">
        <x:v>PC original (MS-DOS, Nov 1993); Star Wars film license</x:v>
      </x:c>
      <x:c r="S594" s="9" t="str">
        <x:v>Mac, Sega CD, 3DO</x:v>
      </x:c>
      <x:c r="T594" s="9" t="str">
        <x:v>No film cast; new actors as Rookie One and Rebel pilots; digitized film footage and John Williams score</x:v>
      </x:c>
      <x:c r="U594" s="9" t="n">
        <x:v>1</x:v>
      </x:c>
      <x:c r="V594" s="9" t="str">
        <x:v>No (passwords)</x:v>
      </x:c>
      <x:c r="W594" s="9" t="str">
        <x:v>386/33, 4 MB RAM, 1x CD-ROM, VGA, joystick recommended; DOS (verify)</x:v>
      </x:c>
      <x:c r="X594" s="9" t="str">
        <x:v>Med–High</x:v>
      </x:c>
      <x:c r="Y594" s="9" t="str">
        <x:v>John Williams Star Wars score and digitized clips from the original trilogy</x:v>
      </x:c>
      <x:c r="Z594" s="9" t="str">
        <x:v>1–2 hr</x:v>
      </x:c>
      <x:c r="AA594" s="9" t="str">
        <x:v>The CD-ROM killer app of 1993: the game that sold drives by putting you in the trench run.</x:v>
      </x:c>
      <x:c r="AB594" s="9" t="str">
        <x:v>Chapter passwords; PC cheat codes (invulnerability, chapter skip) are documented but inputs not confirmed (verify)</x:v>
      </x:c>
      <x:c r="AC594" s="9" t="str">
        <x:v>320x200 VGA, roughly 15 fps (verify)</x:v>
      </x:c>
      <x:c r="AD594" s="9" t="str">
        <x:v>Moderate; three difficulty settings, imprecise controls</x:v>
      </x:c>
      <x:c r="AE594" s="9" t="str">
        <x:v>Linear 15-chapter story; short death clips on failure</x:v>
      </x:c>
      <x:c r="AF594" s="9" t="str">
        <x:v>Sold over a million copies across platforms and is credited with speeding up CD-ROM adoption; director Vince Lee built it on LucasArts' new INSANE video engine.</x:v>
      </x:c>
      <x:c r="AG594" s="9" t="str">
        <x:v>Original big box; later jewel-case and LucasArts Archives / Rebel Assault I+II bundles</x:v>
      </x:c>
      <x:c r="AH594" s="9" t="str">
        <x:v>Yes (GOG, Steam: Rebel Assault I + II)</x:v>
      </x:c>
      <x:c r="AI594" s="9" t="str">
        <x:v>Easy</x:v>
      </x:c>
      <x:c r="AJ594" s="9" t="str">
        <x:v>GOG (Star Wars: Rebel Assault I + II)</x:v>
      </x:c>
      <x:c r="AK594" s="9" t="str">
        <x:v>GOG release April 2015 as STAR WARS Rebel Assault I + II (Steam listing verify).</x:v>
      </x:c>
      <x:c r="AL594" s="10" t="n">
        <x:v>6.14</x:v>
      </x:c>
      <x:c r="AM594" s="10" t="n">
        <x:v>24.96</x:v>
      </x:c>
      <x:c r="AN594" s="10" t="n">
        <x:v>102.62</x:v>
      </x:c>
      <x:c r="AO594" s="9" t="str">
        <x:v>2026-10-24</x:v>
      </x:c>
      <x:c r="AP594" s="11" t="str">
        <x:f>HYPERLINK("https://www.pricecharting.com/game/pc-games/star-wars-rebel-assault","PriceCharting")</x:f>
        <x:v>PriceCharting</x:v>
      </x:c>
      <x:c r="AQ594" s="9"/>
      <x:c r="AR594" s="9"/>
      <x:c r="AS594" s="9"/>
      <x:c r="AT594" s="9"/>
      <x:c r="AU594" s="9"/>
      <x:c r="AV594" s="9"/>
      <x:c r="AW594" s="9"/>
      <x:c r="AX594" s="9"/>
      <x:c r="AY594" s="9"/>
      <x:c r="AZ594" s="9"/>
      <x:c r="BA594" s="11" t="str">
        <x:f>HYPERLINK("https://www.mobygames.com/game/272/star-wars-rebel-assault/","MobyGames")</x:f>
        <x:v>MobyGames</x:v>
      </x:c>
      <x:c r="BB594" s="9" t="str">
        <x:v>50%</x:v>
      </x:c>
      <x:c r="BC594" s="9" t="str">
        <x:v>average of 1 review on Wikipedia (Edge)</x:v>
      </x:c>
      <x:c r="BD594" s="9" t="str">
        <x:f>HYPERLINK("https://en.wikipedia.org/wiki/Star_Wars%3A_Rebel_Assault","Source")</x:f>
        <x:v>Source</x:v>
      </x:c>
      <x:c r="BE594" s="11" t="str">
        <x:f>HYPERLINK("https://en.wikipedia.org/wiki/Star_Wars:_Rebel_Assault","Wikipedia")</x:f>
        <x:v>Wikipedia</x:v>
      </x:c>
      <x:c r="BF594" s="11" t="str">
        <x:f>HYPERLINK("https://backloggd.com/search/games/Star%20Wars%3A%20Rebel%20Assault/","Backloggd")</x:f>
        <x:v>Backloggd</x:v>
      </x:c>
      <x:c r="BG594" s="9"/>
      <x:c r="BH594" s="9"/>
      <x:c r="BI594" s="12" t="str">
        <x:v>No</x:v>
      </x:c>
      <x:c r="BJ594" s="12" t="str"/>
      <x:c r="BK594" s="12" t="str">
        <x:v>No</x:v>
      </x:c>
      <x:c r="BL594" s="12" t="str"/>
      <x:c r="BM594" s="12" t="str"/>
      <x:c r="BN594" s="12" t="str"/>
      <x:c r="BO594" s="12" t="str"/>
      <x:c r="BP594" s="12" t="str"/>
      <x:c r="BQ594" s="12" t="str"/>
    </x:row>
    <x:row r="595">
      <x:c r="A595" s="9" t="str">
        <x:v>pc-65</x:v>
      </x:c>
      <x:c r="B595" s="9" t="str">
        <x:v>rebel-assault-ii-the-hidden-empire</x:v>
      </x:c>
      <x:c r="C595" s="9" t="str">
        <x:v>PC</x:v>
      </x:c>
      <x:c r="D595" s="9" t="str">
        <x:v>Rebel Assault II: The Hidden Empire</x:v>
      </x:c>
      <x:c r="E595" s="9" t="str">
        <x:v>Star Wars: Rebel Assault II – The Hidden Empire</x:v>
      </x:c>
      <x:c r="F595" s="9" t="str">
        <x:v>LucasArts</x:v>
      </x:c>
      <x:c r="G595" s="9" t="str">
        <x:v>LucasArts (NA), Virgin / Softgold (EU) (verify)</x:v>
      </x:c>
      <x:c r="H595" s="9" t="n">
        <x:v>1995</x:v>
      </x:c>
      <x:c r="I595" s="9" t="str">
        <x:v>Yes</x:v>
      </x:c>
      <x:c r="J595" s="9" t="str">
        <x:v>No</x:v>
      </x:c>
      <x:c r="K595" s="9" t="str">
        <x:v>Yes</x:v>
      </x:c>
      <x:c r="L595" s="9" t="str">
        <x:v>No</x:v>
      </x:c>
      <x:c r="M595" s="9" t="str">
        <x:v>Rail shooter</x:v>
      </x:c>
      <x:c r="N595" s="9" t="str">
        <x:v>Live-action + pre-rendered CG</x:v>
      </x:c>
      <x:c r="O595" s="9" t="n">
        <x:v>9</x:v>
      </x:c>
      <x:c r="P595" s="9" t="str">
        <x:v>Interactive movie</x:v>
      </x:c>
      <x:c r="Q595" s="9" t="str">
        <x:v>Released</x:v>
      </x:c>
      <x:c r="R595" s="9" t="str">
        <x:v>PC original (MS-DOS, Nov 1995); Star Wars film license</x:v>
      </x:c>
      <x:c r="S595" s="9" t="str">
        <x:v>Mac, PlayStation</x:v>
      </x:c>
      <x:c r="T595" s="9" t="str">
        <x:v>Jamison Jones (Rookie One), Julie Eccles (Ru Murleen), C. Andrew Nelson (Darth Vader; voiced by Scott Lawrence); new live-action Star Wars footage shot on blue screen</x:v>
      </x:c>
      <x:c r="U595" s="9" t="n">
        <x:v>2</x:v>
      </x:c>
      <x:c r="V595" s="9" t="str">
        <x:v>Yes</x:v>
      </x:c>
      <x:c r="W595" s="9" t="str">
        <x:v>486DX2/66, 8 MB RAM, 2x CD-ROM, VGA, joystick recommended; DOS</x:v>
      </x:c>
      <x:c r="X595" s="9" t="str">
        <x:v>Med–High</x:v>
      </x:c>
      <x:c r="Y595" s="9" t="str">
        <x:v>John Williams Star Wars score and themes</x:v>
      </x:c>
      <x:c r="Z595" s="9" t="str">
        <x:v>2–3 hr</x:v>
      </x:c>
      <x:c r="AA595" s="9" t="str">
        <x:v>The first Star Wars footage shot since Return of the Jedi was filmed for this game, on blue screen, with costumes from the trilogy.</x:v>
      </x:c>
      <x:c r="AB595" s="9" t="str">
        <x:v>PC cheat codes exist (verify)</x:v>
      </x:c>
      <x:c r="AC595" s="9" t="str">
        <x:v>320x200, about 15 fps; improved over the original (verify)</x:v>
      </x:c>
      <x:c r="AD595" s="9" t="str">
        <x:v>Moderate; better controls than the first game</x:v>
      </x:c>
      <x:c r="AE595" s="9" t="str">
        <x:v>Linear 15 chapters</x:v>
      </x:c>
      <x:c r="AF595" s="9" t="str">
        <x:v>Used original trilogy costumes and props; the live-action scenes were the first new Star Wars footage since 1983.</x:v>
      </x:c>
      <x:c r="AG595" s="9" t="str">
        <x:v>Big box; jewel case; Rebel Assault I+II bundle</x:v>
      </x:c>
      <x:c r="AH595" s="9" t="str">
        <x:v>Yes (GOG, Steam: Rebel Assault I + II)</x:v>
      </x:c>
      <x:c r="AI595" s="9" t="str">
        <x:v>Easy</x:v>
      </x:c>
      <x:c r="AJ595" s="9" t="str">
        <x:v>GOG (Star Wars: Rebel Assault I + II)</x:v>
      </x:c>
      <x:c r="AK595" s="9" t="str"/>
      <x:c r="AL595" s="10" t="n">
        <x:v>6.3</x:v>
      </x:c>
      <x:c r="AM595" s="10" t="n">
        <x:v>19.78</x:v>
      </x:c>
      <x:c r="AN595" s="10" t="n">
        <x:v>57.71</x:v>
      </x:c>
      <x:c r="AO595" s="9" t="str">
        <x:v>2026-10-24</x:v>
      </x:c>
      <x:c r="AP595" s="11" t="str">
        <x:f>HYPERLINK("https://www.pricecharting.com/game/pc-games/star-wars-rebel-assault-ii-the-hidden-empire","PriceCharting")</x:f>
        <x:v>PriceCharting</x:v>
      </x:c>
      <x:c r="AQ595" s="9" t="n">
        <x:v>9.99</x:v>
      </x:c>
      <x:c r="AR595" s="11" t="str">
        <x:v>Steam</x:v>
      </x:c>
      <x:c r="AS595" s="9" t="str">
        <x:f>HYPERLINK("https://store.steampowered.com/app/456540/","Store")</x:f>
        <x:v>Store</x:v>
      </x:c>
      <x:c r="AT595" s="9" t="str">
        <x:v>2026-10-24</x:v>
      </x:c>
      <x:c r="AU595" s="9"/>
      <x:c r="AV595" s="9"/>
      <x:c r="AW595" s="9"/>
      <x:c r="AX595" s="9"/>
      <x:c r="AY595" s="9"/>
      <x:c r="AZ595" s="9"/>
      <x:c r="BA595" s="11" t="str">
        <x:f>HYPERLINK("https://www.mobygames.com/game/677/","MobyGames")</x:f>
        <x:v>MobyGames</x:v>
      </x:c>
      <x:c r="BB595" s="9" t="str">
        <x:v>75%</x:v>
      </x:c>
      <x:c r="BC595" s="9" t="str">
        <x:v>GameRankings, 1 review</x:v>
      </x:c>
      <x:c r="BD595" s="9" t="str">
        <x:f>HYPERLINK("https://web.archive.org/web/20191209013042id_/https://www.gamerankings.com/pc/10218-star-wars-rebel-assault-ii-the-hidden-empire/","Source")</x:f>
        <x:v>Source</x:v>
      </x:c>
      <x:c r="BE595" s="11" t="str">
        <x:f>HYPERLINK("https://en.wikipedia.org/wiki/Star_Wars:_Rebel_Assault_II:_The_Hidden_Empire","Wikipedia")</x:f>
        <x:v>Wikipedia</x:v>
      </x:c>
      <x:c r="BF595" s="11" t="str">
        <x:f>HYPERLINK("https://backloggd.com/search/games/Rebel%20Assault%20II%3A%20The%20Hidden%20Empire/","Backloggd")</x:f>
        <x:v>Backloggd</x:v>
      </x:c>
      <x:c r="BG595" s="9"/>
      <x:c r="BH595" s="9"/>
      <x:c r="BI595" s="12" t="str">
        <x:v>No</x:v>
      </x:c>
      <x:c r="BJ595" s="12" t="str"/>
      <x:c r="BK595" s="12" t="str">
        <x:v>No</x:v>
      </x:c>
      <x:c r="BL595" s="12" t="str"/>
      <x:c r="BM595" s="12" t="str"/>
      <x:c r="BN595" s="12" t="str"/>
      <x:c r="BO595" s="12" t="str"/>
      <x:c r="BP595" s="12" t="str"/>
      <x:c r="BQ595" s="12" t="str"/>
    </x:row>
    <x:row r="596">
      <x:c r="A596" s="9" t="str">
        <x:v>pc-66</x:v>
      </x:c>
      <x:c r="B596" s="9" t="str">
        <x:v>star-wars-jedi-knight-dark-forces-ii</x:v>
      </x:c>
      <x:c r="C596" s="9" t="str">
        <x:v>PC</x:v>
      </x:c>
      <x:c r="D596" s="9" t="str">
        <x:v>Star Wars Jedi Knight: Dark Forces II</x:v>
      </x:c>
      <x:c r="E596" s="9" t="str">
        <x:v>Jedi Knight</x:v>
      </x:c>
      <x:c r="F596" s="9" t="str">
        <x:v>LucasArts</x:v>
      </x:c>
      <x:c r="G596" s="9" t="str">
        <x:v>LucasArts</x:v>
      </x:c>
      <x:c r="H596" s="9" t="n">
        <x:v>1997</x:v>
      </x:c>
      <x:c r="I596" s="9" t="str">
        <x:v>Yes</x:v>
      </x:c>
      <x:c r="J596" s="9" t="str">
        <x:v>No</x:v>
      </x:c>
      <x:c r="K596" s="9" t="str">
        <x:v>Yes</x:v>
      </x:c>
      <x:c r="L596" s="9" t="str">
        <x:v>No</x:v>
      </x:c>
      <x:c r="M596" s="9" t="str">
        <x:v>First-person shooter</x:v>
      </x:c>
      <x:c r="N596" s="9" t="str">
        <x:v>Live-action + CG</x:v>
      </x:c>
      <x:c r="O596" s="9" t="n">
        <x:v>2</x:v>
      </x:c>
      <x:c r="P596" s="9" t="str">
        <x:v>Cutscenes only</x:v>
      </x:c>
      <x:c r="Q596" s="9" t="str">
        <x:v>Released</x:v>
      </x:c>
      <x:c r="R596" s="9" t="str">
        <x:v>PC original (Windows 95, Oct 1997); Star Wars license</x:v>
      </x:c>
      <x:c r="S596" s="9" t="str">
        <x:v>None (expansion Mysteries of the Sith, PC only)</x:v>
      </x:c>
      <x:c r="T596" s="9" t="str">
        <x:v>Jason Court (Kyle Katarn), Angela Harry (Jan Ors), Christopher Neame (Jerec) (verify)</x:v>
      </x:c>
      <x:c r="U596" s="9" t="n">
        <x:v>2</x:v>
      </x:c>
      <x:c r="V596" s="9" t="str">
        <x:v>Yes</x:v>
      </x:c>
      <x:c r="W596" s="9" t="str">
        <x:v>Pentium 90, 16 MB RAM, 4x CD-ROM, SVGA, optional 3D accelerator; Win95</x:v>
      </x:c>
      <x:c r="X596" s="9" t="str">
        <x:v>Med–High</x:v>
      </x:c>
      <x:c r="Y596" s="9" t="str">
        <x:v>John Williams Star Wars score</x:v>
      </x:c>
      <x:c r="Z596" s="9" t="str">
        <x:v>12–20 hr</x:v>
      </x:c>
      <x:c r="AA596" s="9" t="str">
        <x:v>A full live-action Star Wars side story with its own cast, sets on blue screen and light-side/dark-side endings.</x:v>
      </x:c>
      <x:c r="AB596" s="9" t="str">
        <x:v>Console cheats via T key, e.g. jediwannabe (god mode), red5 (weapons), thereisnotry (skip level) (verify)</x:v>
      </x:c>
      <x:c r="AC596" s="9" t="str">
        <x:v>Full-motion cutscenes about 320x240 (verify)</x:v>
      </x:c>
      <x:c r="AD596" s="9" t="str">
        <x:v>Moderate; three difficulty levels</x:v>
      </x:c>
      <x:c r="AE596" s="9" t="str">
        <x:v>Light-side and dark-side endings with separate filmed finales</x:v>
      </x:c>
      <x:c r="AF596" s="9" t="str">
        <x:v>The cutscenes were shot against blue screen with digital sets; Jason Court's Kyle was later replaced by voice-only actors in the sequels.</x:v>
      </x:c>
      <x:c r="AG596" s="9" t="str">
        <x:v>Big box; Jedi Knight + Mysteries of the Sith collector's set; LucasArts Archives</x:v>
      </x:c>
      <x:c r="AH596" s="9" t="str">
        <x:v>Yes (GOG, Steam)</x:v>
      </x:c>
      <x:c r="AI596" s="9" t="str">
        <x:v>Easy</x:v>
      </x:c>
      <x:c r="AJ596" s="9" t="str">
        <x:v>GOG / Steam</x:v>
      </x:c>
      <x:c r="AK596" s="9" t="str">
        <x:v>Kept as a notable cutscene title per SCOPE.md; the FMV is a reason to watch but gameplay is real-time 3D.</x:v>
      </x:c>
      <x:c r="AL596" s="10" t="n">
        <x:v>6.49</x:v>
      </x:c>
      <x:c r="AM596" s="10" t="n">
        <x:v>20.48</x:v>
      </x:c>
      <x:c r="AN596" s="10" t="n">
        <x:v>69</x:v>
      </x:c>
      <x:c r="AO596" s="9" t="str">
        <x:v>2026-10-24</x:v>
      </x:c>
      <x:c r="AP596" s="11" t="str">
        <x:f>HYPERLINK("https://www.pricecharting.com/game/pc-games/star-wars-jedi-knight-dark-forces-ii","PriceCharting")</x:f>
        <x:v>PriceCharting</x:v>
      </x:c>
      <x:c r="AQ596" s="9" t="n">
        <x:v>5.99</x:v>
      </x:c>
      <x:c r="AR596" s="11" t="str">
        <x:v>Steam</x:v>
      </x:c>
      <x:c r="AS596" s="9" t="str">
        <x:f>HYPERLINK("https://store.steampowered.com/app/32380/","Store")</x:f>
        <x:v>Store</x:v>
      </x:c>
      <x:c r="AT596" s="9" t="str">
        <x:v>2026-10-24</x:v>
      </x:c>
      <x:c r="AU596" s="9"/>
      <x:c r="AV596" s="9"/>
      <x:c r="AW596" s="9"/>
      <x:c r="AX596" s="9"/>
      <x:c r="AY596" s="9"/>
      <x:c r="AZ596" s="9"/>
      <x:c r="BA596" s="11" t="str">
        <x:f>HYPERLINK("https://www.mobygames.com/search/?q=Star+Wars+Jedi+Knight%3A+Dark+Forces+II","MobyGames")</x:f>
        <x:v>MobyGames</x:v>
      </x:c>
      <x:c r="BB596" s="9" t="str">
        <x:v>89%</x:v>
      </x:c>
      <x:c r="BC596" s="9" t="str">
        <x:v>GameRankings, 13 reviews</x:v>
      </x:c>
      <x:c r="BD596" s="9" t="str">
        <x:f>HYPERLINK("https://web.archive.org/web/20191209015009id_/https://www.gamerankings.com/pc/24354-star-wars-jedi-knight-dark-forces-ii/","Source")</x:f>
        <x:v>Source</x:v>
      </x:c>
      <x:c r="BE596" s="11" t="str">
        <x:f>HYPERLINK("https://en.wikipedia.org/wiki/Star_Wars_Jedi_Knight:_Dark_Forces_II","Wikipedia")</x:f>
        <x:v>Wikipedia</x:v>
      </x:c>
      <x:c r="BF596" s="11" t="str">
        <x:f>HYPERLINK("https://backloggd.com/search/games/Star%20Wars%20Jedi%20Knight%3A%20Dark%20Forces%20II/","Backloggd")</x:f>
        <x:v>Backloggd</x:v>
      </x:c>
      <x:c r="BG596" s="9"/>
      <x:c r="BH596" s="9"/>
      <x:c r="BI596" s="12" t="str">
        <x:v>No</x:v>
      </x:c>
      <x:c r="BJ596" s="12" t="str"/>
      <x:c r="BK596" s="12" t="str">
        <x:v>No</x:v>
      </x:c>
      <x:c r="BL596" s="12" t="str"/>
      <x:c r="BM596" s="12" t="str"/>
      <x:c r="BN596" s="12" t="str"/>
      <x:c r="BO596" s="12" t="str"/>
      <x:c r="BP596" s="12" t="str"/>
      <x:c r="BQ596" s="12" t="str"/>
    </x:row>
    <x:row r="597">
      <x:c r="A597" s="9" t="str">
        <x:v>pc-67</x:v>
      </x:c>
      <x:c r="B597" s="9" t="str">
        <x:v>creature-shock</x:v>
      </x:c>
      <x:c r="C597" s="9" t="str">
        <x:v>PC</x:v>
      </x:c>
      <x:c r="D597" s="9" t="str">
        <x:v>Creature Shock</x:v>
      </x:c>
      <x:c r="E597" s="9" t="str"/>
      <x:c r="F597" s="9" t="str">
        <x:v>Argonaut Software</x:v>
      </x:c>
      <x:c r="G597" s="9" t="str">
        <x:v>Virgin Interactive</x:v>
      </x:c>
      <x:c r="H597" s="9" t="n">
        <x:v>1994</x:v>
      </x:c>
      <x:c r="I597" s="9" t="str">
        <x:v>Yes</x:v>
      </x:c>
      <x:c r="J597" s="9" t="str">
        <x:v>No</x:v>
      </x:c>
      <x:c r="K597" s="9" t="str">
        <x:v>Yes</x:v>
      </x:c>
      <x:c r="L597" s="9" t="str">
        <x:v>No</x:v>
      </x:c>
      <x:c r="M597" s="9" t="str">
        <x:v>Rail shooter</x:v>
      </x:c>
      <x:c r="N597" s="9" t="str">
        <x:v>Pre-rendered CG</x:v>
      </x:c>
      <x:c r="O597" s="9" t="n">
        <x:v>9</x:v>
      </x:c>
      <x:c r="P597" s="9" t="str">
        <x:v>Pre-rendered CG</x:v>
      </x:c>
      <x:c r="Q597" s="9" t="str">
        <x:v>Released</x:v>
      </x:c>
      <x:c r="R597" s="9" t="str">
        <x:v>PC original (MS-DOS, Dec 1994)</x:v>
      </x:c>
      <x:c r="S597" s="9" t="str">
        <x:v>3DO, Sega Saturn, PlayStation, CD-i</x:v>
      </x:c>
      <x:c r="T597" s="9" t="str">
        <x:v>—</x:v>
      </x:c>
      <x:c r="U597" s="9" t="n">
        <x:v>2</x:v>
      </x:c>
      <x:c r="V597" s="9" t="str">
        <x:v>Yes</x:v>
      </x:c>
      <x:c r="W597" s="9" t="str">
        <x:v>486DX/33, 8 MB RAM, 2x CD-ROM, VGA; DOS (verify)</x:v>
      </x:c>
      <x:c r="X597" s="9" t="str">
        <x:v>Low</x:v>
      </x:c>
      <x:c r="Y597" s="9" t="str"/>
      <x:c r="Z597" s="9" t="str">
        <x:v>2–3 hr</x:v>
      </x:c>
      <x:c r="AA597" s="9" t="str">
        <x:v>Argonaut's gigabyte of pre-rendered alien corridors, launched as the PC version that the console ports chased.</x:v>
      </x:c>
      <x:c r="AB597" s="9" t="str">
        <x:v>None known</x:v>
      </x:c>
      <x:c r="AC597" s="9" t="str">
        <x:v>320x200, full screen (verify)</x:v>
      </x:c>
      <x:c r="AD597" s="9" t="str">
        <x:v>Hard; single weapon and sluggish cursor</x:v>
      </x:c>
      <x:c r="AE597" s="9" t="str">
        <x:v>Single ending</x:v>
      </x:c>
      <x:c r="AF597" s="9" t="str">
        <x:v>Virgin promoted it as one of the largest CD-ROM games of 1994; a Jaguar CD port was shown and cancelled.</x:v>
      </x:c>
      <x:c r="AG597" s="9" t="str">
        <x:v>UK and US releases; later Special Edition (verify)</x:v>
      </x:c>
      <x:c r="AH597" s="9" t="str">
        <x:v>No</x:v>
      </x:c>
      <x:c r="AI597" s="9" t="str">
        <x:v>Easy</x:v>
      </x:c>
      <x:c r="AJ597" s="9" t="str">
        <x:v>Original discs in DOSBox</x:v>
      </x:c>
      <x:c r="AK597" s="9" t="str">
        <x:v>Disc count for the PC release not confirmed (verify).</x:v>
      </x:c>
      <x:c r="AL597" s="10" t="n">
        <x:v>6.99</x:v>
      </x:c>
      <x:c r="AM597" s="10" t="n">
        <x:v>13.48</x:v>
      </x:c>
      <x:c r="AN597" s="10" t="n">
        <x:v>23.96</x:v>
      </x:c>
      <x:c r="AO597" s="9" t="str">
        <x:v>2026-10-24</x:v>
      </x:c>
      <x:c r="AP597" s="11" t="str">
        <x:f>HYPERLINK("https://www.pricecharting.com/game/pc-games/creature-shock","PriceCharting")</x:f>
        <x:v>PriceCharting</x:v>
      </x:c>
      <x:c r="AQ597" s="9"/>
      <x:c r="AR597" s="9"/>
      <x:c r="AS597" s="9"/>
      <x:c r="AT597" s="9"/>
      <x:c r="AU597" s="9"/>
      <x:c r="AV597" s="9"/>
      <x:c r="AW597" s="9"/>
      <x:c r="AX597" s="9"/>
      <x:c r="AY597" s="9" t="str">
        <x:v>78%</x:v>
      </x:c>
      <x:c r="AZ597" s="9" t="str">
        <x:v>3.2</x:v>
      </x:c>
      <x:c r="BA597" s="11" t="str">
        <x:f>HYPERLINK("https://www.mobygames.com/game/dos/creature-shock","MobyGames")</x:f>
        <x:v>MobyGames</x:v>
      </x:c>
      <x:c r="BB597" s="9"/>
      <x:c r="BC597" s="9"/>
      <x:c r="BD597" s="9"/>
      <x:c r="BE597" s="11" t="str">
        <x:f>HYPERLINK("https://en.wikipedia.org/wiki/Creature_Shock","Wikipedia")</x:f>
        <x:v>Wikipedia</x:v>
      </x:c>
      <x:c r="BF597" s="11" t="str">
        <x:f>HYPERLINK("https://backloggd.com/search/games/Creature%20Shock/","Backloggd")</x:f>
        <x:v>Backloggd</x:v>
      </x:c>
      <x:c r="BG597" s="9"/>
      <x:c r="BH597" s="9"/>
      <x:c r="BI597" s="12" t="str">
        <x:v>No</x:v>
      </x:c>
      <x:c r="BJ597" s="12" t="str"/>
      <x:c r="BK597" s="12" t="str">
        <x:v>No</x:v>
      </x:c>
      <x:c r="BL597" s="12" t="str"/>
      <x:c r="BM597" s="12" t="str"/>
      <x:c r="BN597" s="12" t="str"/>
      <x:c r="BO597" s="12" t="str"/>
      <x:c r="BP597" s="12" t="str"/>
      <x:c r="BQ597" s="12" t="str"/>
    </x:row>
    <x:row r="598">
      <x:c r="A598" s="9" t="str">
        <x:v>pc-68</x:v>
      </x:c>
      <x:c r="B598" s="9" t="str">
        <x:v>cyberia</x:v>
      </x:c>
      <x:c r="C598" s="9" t="str">
        <x:v>PC</x:v>
      </x:c>
      <x:c r="D598" s="9" t="str">
        <x:v>Cyberia</x:v>
      </x:c>
      <x:c r="E598" s="9" t="str"/>
      <x:c r="F598" s="9" t="str">
        <x:v>Xatrix Entertainment</x:v>
      </x:c>
      <x:c r="G598" s="9" t="str">
        <x:v>Interplay Productions</x:v>
      </x:c>
      <x:c r="H598" s="9" t="n">
        <x:v>1994</x:v>
      </x:c>
      <x:c r="I598" s="9" t="str">
        <x:v>Yes</x:v>
      </x:c>
      <x:c r="J598" s="9" t="str">
        <x:v>No</x:v>
      </x:c>
      <x:c r="K598" s="9" t="str">
        <x:v>Yes</x:v>
      </x:c>
      <x:c r="L598" s="9" t="str">
        <x:v>No</x:v>
      </x:c>
      <x:c r="M598" s="9" t="str">
        <x:v>Rail shooter / adventure</x:v>
      </x:c>
      <x:c r="N598" s="9" t="str">
        <x:v>Pre-rendered CG</x:v>
      </x:c>
      <x:c r="O598" s="9" t="n">
        <x:v>7</x:v>
      </x:c>
      <x:c r="P598" s="9" t="str">
        <x:v>Pre-rendered CG</x:v>
      </x:c>
      <x:c r="Q598" s="9" t="str">
        <x:v>Released</x:v>
      </x:c>
      <x:c r="R598" s="9" t="str">
        <x:v>PC original (MS-DOS, 1994)</x:v>
      </x:c>
      <x:c r="S598" s="9" t="str">
        <x:v>PlayStation, Sega Saturn, 3DO</x:v>
      </x:c>
      <x:c r="T598" s="9" t="str">
        <x:v>Thomas Dolby (music, Headspace)</x:v>
      </x:c>
      <x:c r="U598" s="9" t="n">
        <x:v>1</x:v>
      </x:c>
      <x:c r="V598" s="9" t="str">
        <x:v>Yes</x:v>
      </x:c>
      <x:c r="W598" s="9" t="str">
        <x:v>486DX/33, 8 MB RAM, 2x CD-ROM, VGA; DOS</x:v>
      </x:c>
      <x:c r="X598" s="9" t="str">
        <x:v>Low</x:v>
      </x:c>
      <x:c r="Y598" s="9" t="str"/>
      <x:c r="Z598" s="9" t="str">
        <x:v>3–5 hr</x:v>
      </x:c>
      <x:c r="AA598" s="9" t="str">
        <x:v>Thomas Dolby scored this cyberpunk mix of streamed-CG flight shooting and puzzle rooms.</x:v>
      </x:c>
      <x:c r="AB598" s="9" t="str">
        <x:v>None known</x:v>
      </x:c>
      <x:c r="AC598" s="9" t="str">
        <x:v>320x200, full screen, streamed CG</x:v>
      </x:c>
      <x:c r="AD598" s="9" t="str">
        <x:v>Moderate to hard; trial-and-error puzzles</x:v>
      </x:c>
      <x:c r="AE598" s="9" t="str">
        <x:v>Single ending</x:v>
      </x:c>
      <x:c r="AF598" s="9" t="str">
        <x:v>Xatrix's first game; the studio went on to make Redneck Rampage and Kingpin.</x:v>
      </x:c>
      <x:c r="AG598" s="9" t="str">
        <x:v>Big box; jewel-case reissue</x:v>
      </x:c>
      <x:c r="AH598" s="9" t="str">
        <x:v>Yes (GOG, Steam)</x:v>
      </x:c>
      <x:c r="AI598" s="9" t="str">
        <x:v>Easy</x:v>
      </x:c>
      <x:c r="AJ598" s="9" t="str">
        <x:v>GOG / Steam</x:v>
      </x:c>
      <x:c r="AK598" s="9" t="str"/>
      <x:c r="AL598" s="10" t="n">
        <x:v>7</x:v>
      </x:c>
      <x:c r="AM598" s="10" t="n">
        <x:v>24.53</x:v>
      </x:c>
      <x:c r="AN598" s="10" t="n">
        <x:v>46.4</x:v>
      </x:c>
      <x:c r="AO598" s="9" t="str">
        <x:v>2026-10-24</x:v>
      </x:c>
      <x:c r="AP598" s="11" t="str">
        <x:f>HYPERLINK("https://www.pricecharting.com/game/pc-games/cyberia","PriceCharting")</x:f>
        <x:v>PriceCharting</x:v>
      </x:c>
      <x:c r="AQ598" s="9" t="n">
        <x:v>9.99</x:v>
      </x:c>
      <x:c r="AR598" s="11" t="str">
        <x:v>Steam</x:v>
      </x:c>
      <x:c r="AS598" s="9" t="str">
        <x:f>HYPERLINK("https://store.steampowered.com/app/624080/","Store")</x:f>
        <x:v>Store</x:v>
      </x:c>
      <x:c r="AT598" s="9" t="str">
        <x:v>2026-10-24</x:v>
      </x:c>
      <x:c r="AU598" s="9"/>
      <x:c r="AV598" s="9"/>
      <x:c r="AW598" s="9"/>
      <x:c r="AX598" s="9"/>
      <x:c r="AY598" s="9"/>
      <x:c r="AZ598" s="9"/>
      <x:c r="BA598" s="11" t="str">
        <x:f>HYPERLINK("https://www.mobygames.com/search/?q=Cyberia","MobyGames")</x:f>
        <x:v>MobyGames</x:v>
      </x:c>
      <x:c r="BB598" s="9" t="str">
        <x:v>20%</x:v>
      </x:c>
      <x:c r="BC598" s="9" t="str">
        <x:v>GameRankings, 1 review</x:v>
      </x:c>
      <x:c r="BD598" s="9" t="str">
        <x:f>HYPERLINK("https://web.archive.org/web/20191209013953id_/https://www.gamerankings.com/pc/565018-cyberia/","Source")</x:f>
        <x:v>Source</x:v>
      </x:c>
      <x:c r="BE598" s="11" t="str">
        <x:f>HYPERLINK("https://en.wikipedia.org/wiki/Cyberia_(video_game)","Wikipedia")</x:f>
        <x:v>Wikipedia</x:v>
      </x:c>
      <x:c r="BF598" s="11" t="str">
        <x:f>HYPERLINK("https://backloggd.com/search/games/Cyberia/","Backloggd")</x:f>
        <x:v>Backloggd</x:v>
      </x:c>
      <x:c r="BG598" s="9"/>
      <x:c r="BH598" s="9"/>
      <x:c r="BI598" s="12" t="str">
        <x:v>No</x:v>
      </x:c>
      <x:c r="BJ598" s="12" t="str"/>
      <x:c r="BK598" s="12" t="str">
        <x:v>No</x:v>
      </x:c>
      <x:c r="BL598" s="12" t="str"/>
      <x:c r="BM598" s="12" t="str"/>
      <x:c r="BN598" s="12" t="str"/>
      <x:c r="BO598" s="12" t="str"/>
      <x:c r="BP598" s="12" t="str"/>
      <x:c r="BQ598" s="12" t="str"/>
    </x:row>
    <x:row r="599">
      <x:c r="A599" s="9" t="str">
        <x:v>pc-69</x:v>
      </x:c>
      <x:c r="B599" s="9" t="str">
        <x:v>cyberia-2-resurrection</x:v>
      </x:c>
      <x:c r="C599" s="9" t="str">
        <x:v>PC</x:v>
      </x:c>
      <x:c r="D599" s="9" t="str">
        <x:v>Cyberia 2: Resurrection</x:v>
      </x:c>
      <x:c r="E599" s="9" t="str">
        <x:v>Cyberia²: Resurrection</x:v>
      </x:c>
      <x:c r="F599" s="9" t="str">
        <x:v>Xatrix Entertainment</x:v>
      </x:c>
      <x:c r="G599" s="9" t="str">
        <x:v>Virgin Interactive</x:v>
      </x:c>
      <x:c r="H599" s="9" t="n">
        <x:v>1995</x:v>
      </x:c>
      <x:c r="I599" s="9" t="str">
        <x:v>Yes</x:v>
      </x:c>
      <x:c r="J599" s="9" t="str">
        <x:v>No</x:v>
      </x:c>
      <x:c r="K599" s="9" t="str">
        <x:v>Yes</x:v>
      </x:c>
      <x:c r="L599" s="9" t="str">
        <x:v>No</x:v>
      </x:c>
      <x:c r="M599" s="9" t="str">
        <x:v>Rail shooter</x:v>
      </x:c>
      <x:c r="N599" s="9" t="str">
        <x:v>Pre-rendered CG</x:v>
      </x:c>
      <x:c r="O599" s="9" t="n">
        <x:v>8</x:v>
      </x:c>
      <x:c r="P599" s="9" t="str">
        <x:v>Pre-rendered CG</x:v>
      </x:c>
      <x:c r="Q599" s="9" t="str">
        <x:v>Released</x:v>
      </x:c>
      <x:c r="R599" s="9" t="str">
        <x:v>PC original (MS-DOS/Windows 95, 1995); sequel to Cyberia</x:v>
      </x:c>
      <x:c r="S599" s="9" t="str">
        <x:v>None</x:v>
      </x:c>
      <x:c r="T599" s="9" t="str">
        <x:v>Unknown — verify</x:v>
      </x:c>
      <x:c r="U599" s="9" t="n">
        <x:v>3</x:v>
      </x:c>
      <x:c r="V599" s="9" t="str">
        <x:v>Yes</x:v>
      </x:c>
      <x:c r="W599" s="9" t="str">
        <x:v>486DX2/66, 8 MB RAM, 2x CD-ROM, SVGA; DOS &amp; Win95 (verify)</x:v>
      </x:c>
      <x:c r="X599" s="9" t="str">
        <x:v>Low</x:v>
      </x:c>
      <x:c r="Y599" s="9" t="str"/>
      <x:c r="Z599" s="9" t="str">
        <x:v>3–5 hr</x:v>
      </x:c>
      <x:c r="AA599" s="9" t="str">
        <x:v>The sequel drops most of the puzzles and goes all-in on streamed-CG shooting and vehicle runs.</x:v>
      </x:c>
      <x:c r="AB599" s="9" t="str">
        <x:v>None known</x:v>
      </x:c>
      <x:c r="AC599" s="9" t="str">
        <x:v>320x200 and SVGA modes (verify)</x:v>
      </x:c>
      <x:c r="AD599" s="9" t="str">
        <x:v>Moderate</x:v>
      </x:c>
      <x:c r="AE599" s="9" t="str">
        <x:v>Single ending</x:v>
      </x:c>
      <x:c r="AF599" s="9" t="str">
        <x:v>Was planned for PlayStation and Saturn like the original, but the console ports never shipped (verify).</x:v>
      </x:c>
      <x:c r="AG599" s="9" t="str">
        <x:v>Big box; jewel case</x:v>
      </x:c>
      <x:c r="AH599" s="9" t="str">
        <x:v>Yes (GOG, Steam, Epic)</x:v>
      </x:c>
      <x:c r="AI599" s="9" t="str">
        <x:v>Easy</x:v>
      </x:c>
      <x:c r="AJ599" s="9" t="str">
        <x:v>GOG / Steam / Epic</x:v>
      </x:c>
      <x:c r="AK599" s="9" t="str">
        <x:v>Disc count unconfirmed (verify). No standalone English Wikipedia article; covered in the Cyberia article.</x:v>
      </x:c>
      <x:c r="AL599" s="10" t="n">
        <x:v>5.14</x:v>
      </x:c>
      <x:c r="AM599" s="10" t="n">
        <x:v>22.49</x:v>
      </x:c>
      <x:c r="AN599" s="10" t="n">
        <x:v>23.13</x:v>
      </x:c>
      <x:c r="AO599" s="9" t="str">
        <x:v>2026-10-24</x:v>
      </x:c>
      <x:c r="AP599" s="11" t="str">
        <x:f>HYPERLINK("https://www.pricecharting.com/game/pc-games/cyberia-2-resurrection","PriceCharting")</x:f>
        <x:v>PriceCharting</x:v>
      </x:c>
      <x:c r="AQ599" s="9" t="n">
        <x:v>9.99</x:v>
      </x:c>
      <x:c r="AR599" s="11" t="str">
        <x:v>Steam</x:v>
      </x:c>
      <x:c r="AS599" s="9" t="str">
        <x:f>HYPERLINK("https://store.steampowered.com/app/717720/","Store")</x:f>
        <x:v>Store</x:v>
      </x:c>
      <x:c r="AT599" s="9" t="str">
        <x:v>2026-10-24</x:v>
      </x:c>
      <x:c r="AU599" s="9"/>
      <x:c r="AV599" s="9"/>
      <x:c r="AW599" s="9"/>
      <x:c r="AX599" s="9"/>
      <x:c r="AY599" s="9" t="str">
        <x:v>63%</x:v>
      </x:c>
      <x:c r="AZ599" s="9" t="str">
        <x:v>3.8</x:v>
      </x:c>
      <x:c r="BA599" s="11" t="str">
        <x:f>HYPERLINK("https://www.mobygames.com/game/dos/cyberia-2-resurrection","MobyGames")</x:f>
        <x:v>MobyGames</x:v>
      </x:c>
      <x:c r="BB599" s="9"/>
      <x:c r="BC599" s="9"/>
      <x:c r="BD599" s="9"/>
      <x:c r="BE599" s="9"/>
      <x:c r="BF599" s="11" t="str">
        <x:f>HYPERLINK("https://backloggd.com/search/games/Cyberia%202%3A%20Resurrection/","Backloggd")</x:f>
        <x:v>Backloggd</x:v>
      </x:c>
      <x:c r="BG599" s="9"/>
      <x:c r="BH599" s="9"/>
      <x:c r="BI599" s="12" t="str">
        <x:v>No</x:v>
      </x:c>
      <x:c r="BJ599" s="12" t="str"/>
      <x:c r="BK599" s="12" t="str">
        <x:v>No</x:v>
      </x:c>
      <x:c r="BL599" s="12" t="str"/>
      <x:c r="BM599" s="12" t="str"/>
      <x:c r="BN599" s="12" t="str"/>
      <x:c r="BO599" s="12" t="str"/>
      <x:c r="BP599" s="12" t="str"/>
      <x:c r="BQ599" s="12" t="str"/>
    </x:row>
    <x:row r="600">
      <x:c r="A600" s="9" t="str">
        <x:v>pc-70</x:v>
      </x:c>
      <x:c r="B600" s="9" t="str">
        <x:v>megarace</x:v>
      </x:c>
      <x:c r="C600" s="9" t="str">
        <x:v>PC</x:v>
      </x:c>
      <x:c r="D600" s="9" t="str">
        <x:v>MegaRace</x:v>
      </x:c>
      <x:c r="E600" s="9" t="str"/>
      <x:c r="F600" s="9" t="str">
        <x:v>Cryo Interactive</x:v>
      </x:c>
      <x:c r="G600" s="9" t="str">
        <x:v>Mindscape</x:v>
      </x:c>
      <x:c r="H600" s="9" t="n">
        <x:v>1993</x:v>
      </x:c>
      <x:c r="I600" s="9" t="str">
        <x:v>Yes</x:v>
      </x:c>
      <x:c r="J600" s="9" t="str">
        <x:v>No</x:v>
      </x:c>
      <x:c r="K600" s="9" t="str">
        <x:v>Yes</x:v>
      </x:c>
      <x:c r="L600" s="9" t="str">
        <x:v>No</x:v>
      </x:c>
      <x:c r="M600" s="9" t="str">
        <x:v>Vehicular combat racer</x:v>
      </x:c>
      <x:c r="N600" s="9" t="str">
        <x:v>Live-action + pre-rendered CG</x:v>
      </x:c>
      <x:c r="O600" s="9" t="n">
        <x:v>7</x:v>
      </x:c>
      <x:c r="P600" s="9" t="str">
        <x:v>Pre-rendered CG</x:v>
      </x:c>
      <x:c r="Q600" s="9" t="str">
        <x:v>Released</x:v>
      </x:c>
      <x:c r="R600" s="9" t="str">
        <x:v>PC original (MS-DOS, 1993)</x:v>
      </x:c>
      <x:c r="S600" s="9" t="str">
        <x:v>Sega CD, 3DO</x:v>
      </x:c>
      <x:c r="T600" s="9" t="str">
        <x:v>Christian Erickson as host Lance Boyle</x:v>
      </x:c>
      <x:c r="U600" s="9" t="n">
        <x:v>1</x:v>
      </x:c>
      <x:c r="V600" s="9" t="str">
        <x:v>Yes</x:v>
      </x:c>
      <x:c r="W600" s="9" t="str">
        <x:v>386/33, 4 MB RAM, 1x CD-ROM, VGA; DOS</x:v>
      </x:c>
      <x:c r="X600" s="9" t="str">
        <x:v>Low</x:v>
      </x:c>
      <x:c r="Y600" s="9" t="str"/>
      <x:c r="Z600" s="9" t="str">
        <x:v>2–3 hr</x:v>
      </x:c>
      <x:c r="AA600" s="9" t="str">
        <x:v>A car-combat game show over streamed CG tracks, hosted by Lance Boyle at full sleaze.</x:v>
      </x:c>
      <x:c r="AB600" s="9" t="str">
        <x:v>None known</x:v>
      </x:c>
      <x:c r="AC600" s="9" t="str">
        <x:v>320x200, full screen streamed CG tracks</x:v>
      </x:c>
      <x:c r="AD600" s="9" t="str">
        <x:v>Moderate</x:v>
      </x:c>
      <x:c r="AE600" s="9" t="str">
        <x:v>Single ending</x:v>
      </x:c>
      <x:c r="AF600" s="9" t="str">
        <x:v>One of Cryo's earliest CD-ROM hits; Lance Boyle returned for both sequels.</x:v>
      </x:c>
      <x:c r="AG600" s="9" t="str">
        <x:v>Big box; bundled with many CD-ROM drive kits; jewel case</x:v>
      </x:c>
      <x:c r="AH600" s="9" t="str">
        <x:v>Yes (GOG, Steam)</x:v>
      </x:c>
      <x:c r="AI600" s="9" t="str">
        <x:v>Easy</x:v>
      </x:c>
      <x:c r="AJ600" s="9" t="str">
        <x:v>GOG / Steam</x:v>
      </x:c>
      <x:c r="AK600" s="9" t="str"/>
      <x:c r="AL600" s="10" t="n">
        <x:v>4.99</x:v>
      </x:c>
      <x:c r="AM600" s="10" t="n">
        <x:v>21.48</x:v>
      </x:c>
      <x:c r="AN600" s="10" t="n">
        <x:v>24.99</x:v>
      </x:c>
      <x:c r="AO600" s="9" t="str">
        <x:v>2026-10-24</x:v>
      </x:c>
      <x:c r="AP600" s="11" t="str">
        <x:f>HYPERLINK("https://www.pricecharting.com/game/pc-games/megarace","PriceCharting")</x:f>
        <x:v>PriceCharting</x:v>
      </x:c>
      <x:c r="AQ600" s="9"/>
      <x:c r="AR600" s="9"/>
      <x:c r="AS600" s="9"/>
      <x:c r="AT600" s="9"/>
      <x:c r="AU600" s="9"/>
      <x:c r="AV600" s="9"/>
      <x:c r="AW600" s="9"/>
      <x:c r="AX600" s="9"/>
      <x:c r="AY600" s="9" t="str">
        <x:v>66%</x:v>
      </x:c>
      <x:c r="AZ600" s="9" t="str">
        <x:v>3.6</x:v>
      </x:c>
      <x:c r="BA600" s="11" t="str">
        <x:f>HYPERLINK("https://www.mobygames.com/game/dos/megarace","MobyGames")</x:f>
        <x:v>MobyGames</x:v>
      </x:c>
      <x:c r="BB600" s="9"/>
      <x:c r="BC600" s="9"/>
      <x:c r="BD600" s="9"/>
      <x:c r="BE600" s="11" t="str">
        <x:f>HYPERLINK("https://en.wikipedia.org/wiki/MegaRace","Wikipedia")</x:f>
        <x:v>Wikipedia</x:v>
      </x:c>
      <x:c r="BF600" s="11" t="str">
        <x:f>HYPERLINK("https://backloggd.com/search/games/MegaRace/","Backloggd")</x:f>
        <x:v>Backloggd</x:v>
      </x:c>
      <x:c r="BG600" s="9"/>
      <x:c r="BH600" s="9"/>
      <x:c r="BI600" s="12" t="str">
        <x:v>No</x:v>
      </x:c>
      <x:c r="BJ600" s="12" t="str"/>
      <x:c r="BK600" s="12" t="str">
        <x:v>No</x:v>
      </x:c>
      <x:c r="BL600" s="12" t="str"/>
      <x:c r="BM600" s="12" t="str"/>
      <x:c r="BN600" s="12" t="str"/>
      <x:c r="BO600" s="12" t="str"/>
      <x:c r="BP600" s="12" t="str"/>
      <x:c r="BQ600" s="12" t="str"/>
    </x:row>
    <x:row r="601">
      <x:c r="A601" s="9" t="str">
        <x:v>pc-71</x:v>
      </x:c>
      <x:c r="B601" s="9" t="str">
        <x:v>megarace-2</x:v>
      </x:c>
      <x:c r="C601" s="9" t="str">
        <x:v>PC</x:v>
      </x:c>
      <x:c r="D601" s="9" t="str">
        <x:v>MegaRace 2</x:v>
      </x:c>
      <x:c r="E601" s="9" t="str"/>
      <x:c r="F601" s="9" t="str">
        <x:v>Cryo Interactive</x:v>
      </x:c>
      <x:c r="G601" s="9" t="str">
        <x:v>Mindscape (NA), Cryo (EU)</x:v>
      </x:c>
      <x:c r="H601" s="9" t="n">
        <x:v>1996</x:v>
      </x:c>
      <x:c r="I601" s="9" t="str">
        <x:v>Yes</x:v>
      </x:c>
      <x:c r="J601" s="9" t="str">
        <x:v>No</x:v>
      </x:c>
      <x:c r="K601" s="9" t="str">
        <x:v>Yes</x:v>
      </x:c>
      <x:c r="L601" s="9" t="str">
        <x:v>No</x:v>
      </x:c>
      <x:c r="M601" s="9" t="str">
        <x:v>Vehicular combat racer</x:v>
      </x:c>
      <x:c r="N601" s="9" t="str">
        <x:v>Live-action + pre-rendered CG</x:v>
      </x:c>
      <x:c r="O601" s="9" t="n">
        <x:v>6</x:v>
      </x:c>
      <x:c r="P601" s="9" t="str">
        <x:v>Pre-rendered CG</x:v>
      </x:c>
      <x:c r="Q601" s="9" t="str">
        <x:v>Released</x:v>
      </x:c>
      <x:c r="R601" s="9" t="str">
        <x:v>PC original (MS-DOS, 1996)</x:v>
      </x:c>
      <x:c r="S601" s="9" t="str">
        <x:v>None</x:v>
      </x:c>
      <x:c r="T601" s="9" t="str">
        <x:v>Christian Erickson as Lance Boyle</x:v>
      </x:c>
      <x:c r="U601" s="9" t="n">
        <x:v>1</x:v>
      </x:c>
      <x:c r="V601" s="9" t="str">
        <x:v>Yes</x:v>
      </x:c>
      <x:c r="W601" s="9" t="str">
        <x:v>486DX2/66, 8 MB RAM, 2x CD-ROM, SVGA; DOS (verify)</x:v>
      </x:c>
      <x:c r="X601" s="9" t="str">
        <x:v>Low</x:v>
      </x:c>
      <x:c r="Y601" s="9" t="str"/>
      <x:c r="Z601" s="9" t="str">
        <x:v>2–3 hr</x:v>
      </x:c>
      <x:c r="AA601" s="9" t="str">
        <x:v>Lance Boyle is back, with more steering freedom over the streamed tracks and more of his act.</x:v>
      </x:c>
      <x:c r="AB601" s="9" t="str">
        <x:v>None known</x:v>
      </x:c>
      <x:c r="AC601" s="9" t="str">
        <x:v>320x200 / SVGA streamed tracks (verify)</x:v>
      </x:c>
      <x:c r="AD601" s="9" t="str">
        <x:v>Moderate</x:v>
      </x:c>
      <x:c r="AE601" s="9" t="str">
        <x:v>Single ending</x:v>
      </x:c>
      <x:c r="AF601" s="9" t="str">
        <x:v>Let the player move across the road on the pre-rendered tracks, a step beyond the original's fixed lanes.</x:v>
      </x:c>
      <x:c r="AG601" s="9" t="str">
        <x:v>Big box; jewel case</x:v>
      </x:c>
      <x:c r="AH601" s="9" t="str">
        <x:v>Yes (Steam)</x:v>
      </x:c>
      <x:c r="AI601" s="9" t="str">
        <x:v>Easy</x:v>
      </x:c>
      <x:c r="AJ601" s="9" t="str">
        <x:v>Steam</x:v>
      </x:c>
      <x:c r="AK601" s="9" t="str"/>
      <x:c r="AL601" s="10" t="n">
        <x:v>11.1</x:v>
      </x:c>
      <x:c r="AM601" s="10" t="n">
        <x:v>45.5</x:v>
      </x:c>
      <x:c r="AN601" s="10" t="n">
        <x:v>91</x:v>
      </x:c>
      <x:c r="AO601" s="9" t="str">
        <x:v>2026-10-24</x:v>
      </x:c>
      <x:c r="AP601" s="11" t="str">
        <x:f>HYPERLINK("https://www.pricecharting.com/game/pc-games/megarace-2","PriceCharting")</x:f>
        <x:v>PriceCharting</x:v>
      </x:c>
      <x:c r="AQ601" s="9" t="n">
        <x:v>2.99</x:v>
      </x:c>
      <x:c r="AR601" s="11" t="str">
        <x:v>Steam</x:v>
      </x:c>
      <x:c r="AS601" s="9" t="str">
        <x:f>HYPERLINK("https://store.steampowered.com/app/733760/","Store")</x:f>
        <x:v>Store</x:v>
      </x:c>
      <x:c r="AT601" s="9" t="str">
        <x:v>2026-10-24</x:v>
      </x:c>
      <x:c r="AU601" s="9"/>
      <x:c r="AV601" s="9"/>
      <x:c r="AW601" s="9"/>
      <x:c r="AX601" s="9"/>
      <x:c r="AY601" s="9" t="str">
        <x:v>62%</x:v>
      </x:c>
      <x:c r="AZ601" s="9" t="str">
        <x:v>3.5</x:v>
      </x:c>
      <x:c r="BA601" s="11" t="str">
        <x:f>HYPERLINK("https://www.mobygames.com/game/dos/megarace-2","MobyGames")</x:f>
        <x:v>MobyGames</x:v>
      </x:c>
      <x:c r="BB601" s="9"/>
      <x:c r="BC601" s="9"/>
      <x:c r="BD601" s="9"/>
      <x:c r="BE601" s="11" t="str">
        <x:f>HYPERLINK("https://en.wikipedia.org/wiki/MegaRace_2","Wikipedia")</x:f>
        <x:v>Wikipedia</x:v>
      </x:c>
      <x:c r="BF601" s="11" t="str">
        <x:f>HYPERLINK("https://backloggd.com/search/games/MegaRace%202/","Backloggd")</x:f>
        <x:v>Backloggd</x:v>
      </x:c>
      <x:c r="BG601" s="9"/>
      <x:c r="BH601" s="9"/>
      <x:c r="BI601" s="12" t="str">
        <x:v>No</x:v>
      </x:c>
      <x:c r="BJ601" s="12" t="str"/>
      <x:c r="BK601" s="12" t="str">
        <x:v>No</x:v>
      </x:c>
      <x:c r="BL601" s="12" t="str"/>
      <x:c r="BM601" s="12" t="str"/>
      <x:c r="BN601" s="12" t="str"/>
      <x:c r="BO601" s="12" t="str"/>
      <x:c r="BP601" s="12" t="str"/>
      <x:c r="BQ601" s="12" t="str"/>
    </x:row>
    <x:row r="602">
      <x:c r="A602" s="9" t="str">
        <x:v>pc-72</x:v>
      </x:c>
      <x:c r="B602" s="9" t="str">
        <x:v>microcosm</x:v>
      </x:c>
      <x:c r="C602" s="9" t="str">
        <x:v>PC</x:v>
      </x:c>
      <x:c r="D602" s="9" t="str">
        <x:v>Microcosm</x:v>
      </x:c>
      <x:c r="E602" s="9" t="str"/>
      <x:c r="F602" s="9" t="str">
        <x:v>Psygnosis</x:v>
      </x:c>
      <x:c r="G602" s="9" t="str">
        <x:v>Psygnosis</x:v>
      </x:c>
      <x:c r="H602" s="9" t="n">
        <x:v>1994</x:v>
      </x:c>
      <x:c r="I602" s="9" t="str">
        <x:v>Yes</x:v>
      </x:c>
      <x:c r="J602" s="9" t="str">
        <x:v>No</x:v>
      </x:c>
      <x:c r="K602" s="9" t="str">
        <x:v>Yes</x:v>
      </x:c>
      <x:c r="L602" s="9" t="str">
        <x:v>No</x:v>
      </x:c>
      <x:c r="M602" s="9" t="str">
        <x:v>Rail shooter</x:v>
      </x:c>
      <x:c r="N602" s="9" t="str">
        <x:v>Pre-rendered CG</x:v>
      </x:c>
      <x:c r="O602" s="9" t="n">
        <x:v>9</x:v>
      </x:c>
      <x:c r="P602" s="9" t="str">
        <x:v>Pre-rendered CG</x:v>
      </x:c>
      <x:c r="Q602" s="9" t="str">
        <x:v>Released</x:v>
      </x:c>
      <x:c r="R602" s="9" t="str">
        <x:v>FM Towns original (1993); PC CD-ROM port</x:v>
      </x:c>
      <x:c r="S602" s="9" t="str">
        <x:v>FM Towns, Sega CD, 3DO, Amiga CD32</x:v>
      </x:c>
      <x:c r="T602" s="9" t="str">
        <x:v>Rick Wakeman (Yes) composed the intro music</x:v>
      </x:c>
      <x:c r="U602" s="9" t="n">
        <x:v>1</x:v>
      </x:c>
      <x:c r="V602" s="9" t="str">
        <x:v>No</x:v>
      </x:c>
      <x:c r="W602" s="9" t="str">
        <x:v>386/33, 4 MB RAM, 1x CD-ROM, VGA; DOS (verify)</x:v>
      </x:c>
      <x:c r="X602" s="9" t="str">
        <x:v>Low–Med</x:v>
      </x:c>
      <x:c r="Y602" s="9" t="str">
        <x:v>Rick Wakeman intro theme (verify)</x:v>
      </x:c>
      <x:c r="Z602" s="9" t="str">
        <x:v>1 hr</x:v>
      </x:c>
      <x:c r="AA602" s="9" t="str">
        <x:v>Psygnosis's 'interactive cinema' showpiece: fly a micro-sub through a man's bloodstream over streamed CG.</x:v>
      </x:c>
      <x:c r="AB602" s="9" t="str">
        <x:v>None known</x:v>
      </x:c>
      <x:c r="AC602" s="9" t="str">
        <x:v>320x200, full screen streamed CG</x:v>
      </x:c>
      <x:c r="AD602" s="9" t="str">
        <x:v>Hard; hard-to-read sprites against busy video</x:v>
      </x:c>
      <x:c r="AE602" s="9" t="str">
        <x:v>Single ending</x:v>
      </x:c>
      <x:c r="AF602" s="9" t="str">
        <x:v>Psygnosis announced it in January 1994 as the debut of its 'interactive cinema' line.</x:v>
      </x:c>
      <x:c r="AG602" s="9" t="str">
        <x:v>Big box; jewel case</x:v>
      </x:c>
      <x:c r="AH602" s="9" t="str">
        <x:v>No</x:v>
      </x:c>
      <x:c r="AI602" s="9" t="str">
        <x:v>Easy</x:v>
      </x:c>
      <x:c r="AJ602" s="9" t="str">
        <x:v>Original discs in DOSBox</x:v>
      </x:c>
      <x:c r="AK602" s="9" t="str">
        <x:v>PC release year 1994 (verify).</x:v>
      </x:c>
      <x:c r="AL602" s="10" t="n">
        <x:v>7.49</x:v>
      </x:c>
      <x:c r="AM602" s="10" t="n">
        <x:v>27.9</x:v>
      </x:c>
      <x:c r="AN602" s="10" t="n">
        <x:v>74.95</x:v>
      </x:c>
      <x:c r="AO602" s="9" t="str">
        <x:v>2026-10-24</x:v>
      </x:c>
      <x:c r="AP602" s="11" t="str">
        <x:f>HYPERLINK("https://www.pricecharting.com/game/pc-games/microcosm","PriceCharting")</x:f>
        <x:v>PriceCharting</x:v>
      </x:c>
      <x:c r="AQ602" s="9"/>
      <x:c r="AR602" s="9"/>
      <x:c r="AS602" s="9"/>
      <x:c r="AT602" s="9"/>
      <x:c r="AU602" s="9"/>
      <x:c r="AV602" s="9"/>
      <x:c r="AW602" s="9"/>
      <x:c r="AX602" s="9"/>
      <x:c r="AY602" s="9" t="str">
        <x:v>58%</x:v>
      </x:c>
      <x:c r="AZ602" s="9" t="str">
        <x:v>2.9</x:v>
      </x:c>
      <x:c r="BA602" s="11" t="str">
        <x:f>HYPERLINK("https://www.mobygames.com/game/dos/microcosm","MobyGames")</x:f>
        <x:v>MobyGames</x:v>
      </x:c>
      <x:c r="BB602" s="9"/>
      <x:c r="BC602" s="9"/>
      <x:c r="BD602" s="9"/>
      <x:c r="BE602" s="11" t="str">
        <x:f>HYPERLINK("https://en.wikipedia.org/wiki/Microcosm_(video_game)","Wikipedia")</x:f>
        <x:v>Wikipedia</x:v>
      </x:c>
      <x:c r="BF602" s="11" t="str">
        <x:f>HYPERLINK("https://backloggd.com/search/games/Microcosm/","Backloggd")</x:f>
        <x:v>Backloggd</x:v>
      </x:c>
      <x:c r="BG602" s="9"/>
      <x:c r="BH602" s="9"/>
      <x:c r="BI602" s="12" t="str">
        <x:v>No</x:v>
      </x:c>
      <x:c r="BJ602" s="12" t="str"/>
      <x:c r="BK602" s="12" t="str">
        <x:v>No</x:v>
      </x:c>
      <x:c r="BL602" s="12" t="str"/>
      <x:c r="BM602" s="12" t="str"/>
      <x:c r="BN602" s="12" t="str"/>
      <x:c r="BO602" s="12" t="str"/>
      <x:c r="BP602" s="12" t="str"/>
      <x:c r="BQ602" s="12" t="str"/>
    </x:row>
    <x:row r="603">
      <x:c r="A603" s="9" t="str">
        <x:v>pc-73</x:v>
      </x:c>
      <x:c r="B603" s="9" t="str">
        <x:v>novastorm</x:v>
      </x:c>
      <x:c r="C603" s="9" t="str">
        <x:v>PC</x:v>
      </x:c>
      <x:c r="D603" s="9" t="str">
        <x:v>Novastorm</x:v>
      </x:c>
      <x:c r="E603" s="9" t="str">
        <x:v>Scavenger 4</x:v>
      </x:c>
      <x:c r="F603" s="9" t="str">
        <x:v>Psygnosis</x:v>
      </x:c>
      <x:c r="G603" s="9" t="str">
        <x:v>Psygnosis</x:v>
      </x:c>
      <x:c r="H603" s="9" t="n">
        <x:v>1994</x:v>
      </x:c>
      <x:c r="I603" s="9" t="str">
        <x:v>Yes</x:v>
      </x:c>
      <x:c r="J603" s="9" t="str">
        <x:v>No</x:v>
      </x:c>
      <x:c r="K603" s="9" t="str">
        <x:v>Yes</x:v>
      </x:c>
      <x:c r="L603" s="9" t="str">
        <x:v>No</x:v>
      </x:c>
      <x:c r="M603" s="9" t="str">
        <x:v>Rail shooter</x:v>
      </x:c>
      <x:c r="N603" s="9" t="str">
        <x:v>Pre-rendered CG</x:v>
      </x:c>
      <x:c r="O603" s="9" t="n">
        <x:v>9</x:v>
      </x:c>
      <x:c r="P603" s="9" t="str">
        <x:v>Pre-rendered CG</x:v>
      </x:c>
      <x:c r="Q603" s="9" t="str">
        <x:v>Released</x:v>
      </x:c>
      <x:c r="R603" s="9" t="str">
        <x:v>Original production (PC/3DO/Sega CD)</x:v>
      </x:c>
      <x:c r="S603" s="9" t="str">
        <x:v>Sega CD, 3DO, PlayStation</x:v>
      </x:c>
      <x:c r="T603" s="9" t="str">
        <x:v>—</x:v>
      </x:c>
      <x:c r="U603" s="9" t="n">
        <x:v>1</x:v>
      </x:c>
      <x:c r="V603" s="9" t="str">
        <x:v>No</x:v>
      </x:c>
      <x:c r="W603" s="9" t="str">
        <x:v>486DX/33, 8 MB RAM, 2x CD-ROM, VGA; DOS (verify)</x:v>
      </x:c>
      <x:c r="X603" s="9" t="str">
        <x:v>Low</x:v>
      </x:c>
      <x:c r="Y603" s="9" t="str"/>
      <x:c r="Z603" s="9" t="str">
        <x:v>1 hr</x:v>
      </x:c>
      <x:c r="AA603" s="9" t="str">
        <x:v>A gorgeous streamed-CG shooter where the ship flies over pre-rendered planets.</x:v>
      </x:c>
      <x:c r="AB603" s="9" t="str">
        <x:v>None known</x:v>
      </x:c>
      <x:c r="AC603" s="9" t="str">
        <x:v>320x200, full screen streamed CG</x:v>
      </x:c>
      <x:c r="AD603" s="9" t="str">
        <x:v>Hard</x:v>
      </x:c>
      <x:c r="AE603" s="9" t="str">
        <x:v>Single ending</x:v>
      </x:c>
      <x:c r="AF603" s="9" t="str">
        <x:v>Developed under the working title Scavenger 4.</x:v>
      </x:c>
      <x:c r="AG603" s="9" t="str">
        <x:v>Big box; jewel case</x:v>
      </x:c>
      <x:c r="AH603" s="9" t="str">
        <x:v>No</x:v>
      </x:c>
      <x:c r="AI603" s="9" t="str">
        <x:v>Easy</x:v>
      </x:c>
      <x:c r="AJ603" s="9" t="str">
        <x:v>Original discs in DOSBox</x:v>
      </x:c>
      <x:c r="AK603" s="9" t="str">
        <x:v>Wikipedia URL not confirmed by search (verify).</x:v>
      </x:c>
      <x:c r="AL603" s="10" t="n">
        <x:v>6.4</x:v>
      </x:c>
      <x:c r="AM603" s="10" t="n">
        <x:v>18.99</x:v>
      </x:c>
      <x:c r="AN603" s="10" t="n">
        <x:v>43.84</x:v>
      </x:c>
      <x:c r="AO603" s="9" t="str">
        <x:v>2026-10-24</x:v>
      </x:c>
      <x:c r="AP603" s="11" t="str">
        <x:f>HYPERLINK("https://www.pricecharting.com/game/pc-games/novastorm","PriceCharting")</x:f>
        <x:v>PriceCharting</x:v>
      </x:c>
      <x:c r="AQ603" s="9"/>
      <x:c r="AR603" s="9"/>
      <x:c r="AS603" s="9"/>
      <x:c r="AT603" s="9"/>
      <x:c r="AU603" s="9"/>
      <x:c r="AV603" s="9"/>
      <x:c r="AW603" s="9"/>
      <x:c r="AX603" s="9"/>
      <x:c r="AY603" s="9"/>
      <x:c r="AZ603" s="9"/>
      <x:c r="BA603" s="11" t="str">
        <x:f>HYPERLINK("https://www.mobygames.com/search/?q=Novastorm","MobyGames")</x:f>
        <x:v>MobyGames</x:v>
      </x:c>
      <x:c r="BB603" s="9" t="str">
        <x:v>50%</x:v>
      </x:c>
      <x:c r="BC603" s="9" t="str">
        <x:v>average of 2 reviews on Wikipedia (CD Player, CGW)</x:v>
      </x:c>
      <x:c r="BD603" s="9" t="str">
        <x:f>HYPERLINK("https://en.wikipedia.org/wiki/Novastorm","Source")</x:f>
        <x:v>Source</x:v>
      </x:c>
      <x:c r="BE603" s="11" t="str">
        <x:f>HYPERLINK("https://en.wikipedia.org/wiki/Novastorm","Wikipedia")</x:f>
        <x:v>Wikipedia</x:v>
      </x:c>
      <x:c r="BF603" s="11" t="str">
        <x:f>HYPERLINK("https://backloggd.com/search/games/Novastorm/","Backloggd")</x:f>
        <x:v>Backloggd</x:v>
      </x:c>
      <x:c r="BG603" s="9"/>
      <x:c r="BH603" s="9"/>
      <x:c r="BI603" s="12" t="str">
        <x:v>No</x:v>
      </x:c>
      <x:c r="BJ603" s="12" t="str"/>
      <x:c r="BK603" s="12" t="str">
        <x:v>No</x:v>
      </x:c>
      <x:c r="BL603" s="12" t="str"/>
      <x:c r="BM603" s="12" t="str"/>
      <x:c r="BN603" s="12" t="str"/>
      <x:c r="BO603" s="12" t="str"/>
      <x:c r="BP603" s="12" t="str"/>
      <x:c r="BQ603" s="12" t="str"/>
    </x:row>
    <x:row r="604">
      <x:c r="A604" s="9" t="str">
        <x:v>pc-74</x:v>
      </x:c>
      <x:c r="B604" s="9" t="str">
        <x:v>deadly-tide</x:v>
      </x:c>
      <x:c r="C604" s="9" t="str">
        <x:v>PC</x:v>
      </x:c>
      <x:c r="D604" s="9" t="str">
        <x:v>Deadly Tide</x:v>
      </x:c>
      <x:c r="E604" s="9" t="str"/>
      <x:c r="F604" s="9" t="str">
        <x:v>Rainbow Studios</x:v>
      </x:c>
      <x:c r="G604" s="9" t="str">
        <x:v>Microsoft</x:v>
      </x:c>
      <x:c r="H604" s="9" t="n">
        <x:v>1996</x:v>
      </x:c>
      <x:c r="I604" s="9" t="str">
        <x:v>Yes</x:v>
      </x:c>
      <x:c r="J604" s="9" t="str">
        <x:v>No</x:v>
      </x:c>
      <x:c r="K604" s="9" t="str">
        <x:v>Yes</x:v>
      </x:c>
      <x:c r="L604" s="9" t="str">
        <x:v>No</x:v>
      </x:c>
      <x:c r="M604" s="9" t="str">
        <x:v>Rail shooter</x:v>
      </x:c>
      <x:c r="N604" s="9" t="str">
        <x:v>Pre-rendered CG</x:v>
      </x:c>
      <x:c r="O604" s="9" t="n">
        <x:v>9</x:v>
      </x:c>
      <x:c r="P604" s="9" t="str">
        <x:v>Pre-rendered CG</x:v>
      </x:c>
      <x:c r="Q604" s="9" t="str">
        <x:v>Released</x:v>
      </x:c>
      <x:c r="R604" s="9" t="str">
        <x:v>PC original (Windows 95, 1996)</x:v>
      </x:c>
      <x:c r="S604" s="9" t="str">
        <x:v>None</x:v>
      </x:c>
      <x:c r="T604" s="9" t="str">
        <x:v>Unknown — verify</x:v>
      </x:c>
      <x:c r="U604" s="9" t="n">
        <x:v>4</x:v>
      </x:c>
      <x:c r="V604" s="9" t="str">
        <x:v>Yes</x:v>
      </x:c>
      <x:c r="W604" s="9" t="str">
        <x:v>Pentium 75, 8 MB RAM, 2x CD-ROM, SVGA; Win95 (verify)</x:v>
      </x:c>
      <x:c r="X604" s="9" t="str">
        <x:v>Low</x:v>
      </x:c>
      <x:c r="Y604" s="9" t="str"/>
      <x:c r="Z604" s="9" t="str">
        <x:v>2–3 hr</x:v>
      </x:c>
      <x:c r="AA604" s="9" t="str">
        <x:v>Microsoft's own big-budget underwater rail shooter, shown off at E3 1996 to sell Windows 95 as a game platform.</x:v>
      </x:c>
      <x:c r="AB604" s="9" t="str">
        <x:v>None known</x:v>
      </x:c>
      <x:c r="AC604" s="9" t="str">
        <x:v>640x480 SVGA streamed CG with 3D sprites (verify)</x:v>
      </x:c>
      <x:c r="AD604" s="9" t="str">
        <x:v>Moderate</x:v>
      </x:c>
      <x:c r="AE604" s="9" t="str">
        <x:v>Single ending</x:v>
      </x:c>
      <x:c r="AF604" s="9" t="str">
        <x:v>Microsoft presented it at E3 1996 as part of its push to make Windows 95 the gaming platform of choice.</x:v>
      </x:c>
      <x:c r="AG604" s="9" t="str">
        <x:v>Retail box; OEM bundles (verify)</x:v>
      </x:c>
      <x:c r="AH604" s="9" t="str">
        <x:v>No</x:v>
      </x:c>
      <x:c r="AI604" s="9" t="str">
        <x:v>Easy</x:v>
      </x:c>
      <x:c r="AJ604" s="9" t="str">
        <x:v>86Box/PCem or Windows 95/98 VM</x:v>
      </x:c>
      <x:c r="AK604" s="9" t="str">
        <x:v>Disc count unconfirmed (verify).</x:v>
      </x:c>
      <x:c r="AL604" s="10" t="n">
        <x:v>7</x:v>
      </x:c>
      <x:c r="AM604" s="10" t="n">
        <x:v>29.29</x:v>
      </x:c>
      <x:c r="AN604" s="10" t="n">
        <x:v>59</x:v>
      </x:c>
      <x:c r="AO604" s="9" t="str">
        <x:v>2026-10-24</x:v>
      </x:c>
      <x:c r="AP604" s="11" t="str">
        <x:f>HYPERLINK("https://www.pricecharting.com/game/pc-games/deadly-tide","PriceCharting")</x:f>
        <x:v>PriceCharting</x:v>
      </x:c>
      <x:c r="AQ604" s="9"/>
      <x:c r="AR604" s="9"/>
      <x:c r="AS604" s="9"/>
      <x:c r="AT604" s="9"/>
      <x:c r="AU604" s="9"/>
      <x:c r="AV604" s="9"/>
      <x:c r="AW604" s="9"/>
      <x:c r="AX604" s="9"/>
      <x:c r="AY604" s="9" t="str">
        <x:v>62%</x:v>
      </x:c>
      <x:c r="AZ604" s="9" t="str">
        <x:v>3.5</x:v>
      </x:c>
      <x:c r="BA604" s="11" t="str">
        <x:f>HYPERLINK("https://www.mobygames.com/game/windows/deadly-tide","MobyGames")</x:f>
        <x:v>MobyGames</x:v>
      </x:c>
      <x:c r="BB604" s="9"/>
      <x:c r="BC604" s="9"/>
      <x:c r="BD604" s="9"/>
      <x:c r="BE604" s="11" t="str">
        <x:f>HYPERLINK("https://en.wikipedia.org/wiki/Deadly_Tide","Wikipedia")</x:f>
        <x:v>Wikipedia</x:v>
      </x:c>
      <x:c r="BF604" s="11" t="str">
        <x:f>HYPERLINK("https://backloggd.com/search/games/Deadly%20Tide/","Backloggd")</x:f>
        <x:v>Backloggd</x:v>
      </x:c>
      <x:c r="BG604" s="9"/>
      <x:c r="BH604" s="9"/>
      <x:c r="BI604" s="12" t="str">
        <x:v>No</x:v>
      </x:c>
      <x:c r="BJ604" s="12" t="str"/>
      <x:c r="BK604" s="12" t="str">
        <x:v>No</x:v>
      </x:c>
      <x:c r="BL604" s="12" t="str"/>
      <x:c r="BM604" s="12" t="str"/>
      <x:c r="BN604" s="12" t="str"/>
      <x:c r="BO604" s="12" t="str"/>
      <x:c r="BP604" s="12" t="str"/>
      <x:c r="BQ604" s="12" t="str"/>
    </x:row>
    <x:row r="605">
      <x:c r="A605" s="9" t="str">
        <x:v>pc-75</x:v>
      </x:c>
      <x:c r="B605" s="9" t="str">
        <x:v>wetlands</x:v>
      </x:c>
      <x:c r="C605" s="9" t="str">
        <x:v>PC</x:v>
      </x:c>
      <x:c r="D605" s="9" t="str">
        <x:v>Wetlands</x:v>
      </x:c>
      <x:c r="E605" s="9" t="str"/>
      <x:c r="F605" s="9" t="str">
        <x:v>Hypnotix</x:v>
      </x:c>
      <x:c r="G605" s="9" t="str">
        <x:v>New World Computing</x:v>
      </x:c>
      <x:c r="H605" s="9" t="n">
        <x:v>1995</x:v>
      </x:c>
      <x:c r="I605" s="9" t="str">
        <x:v>Yes</x:v>
      </x:c>
      <x:c r="J605" s="9" t="str">
        <x:v>No</x:v>
      </x:c>
      <x:c r="K605" s="9" t="str">
        <x:v>Yes</x:v>
      </x:c>
      <x:c r="L605" s="9" t="str">
        <x:v>No</x:v>
      </x:c>
      <x:c r="M605" s="9" t="str">
        <x:v>Rail shooter</x:v>
      </x:c>
      <x:c r="N605" s="9" t="str">
        <x:v>Animated</x:v>
      </x:c>
      <x:c r="O605" s="9" t="n">
        <x:v>9</x:v>
      </x:c>
      <x:c r="P605" s="9" t="str">
        <x:v>Pre-rendered CG</x:v>
      </x:c>
      <x:c r="Q605" s="9" t="str">
        <x:v>Released</x:v>
      </x:c>
      <x:c r="R605" s="9" t="str">
        <x:v>PC original (MS-DOS, 1995)</x:v>
      </x:c>
      <x:c r="S605" s="9" t="str">
        <x:v>None</x:v>
      </x:c>
      <x:c r="T605" s="9" t="str">
        <x:v>—</x:v>
      </x:c>
      <x:c r="U605" s="9" t="n">
        <x:v>1</x:v>
      </x:c>
      <x:c r="V605" s="9" t="str">
        <x:v>Yes</x:v>
      </x:c>
      <x:c r="W605" s="9" t="str">
        <x:v>486DX/33, 8 MB RAM, 2x CD-ROM, VGA; DOS (verify)</x:v>
      </x:c>
      <x:c r="X605" s="9" t="str">
        <x:v>Low</x:v>
      </x:c>
      <x:c r="Y605" s="9" t="str"/>
      <x:c r="Z605" s="9" t="str">
        <x:v>2–3 hr</x:v>
      </x:c>
      <x:c r="AA605" s="9" t="str">
        <x:v>A rail shooter with hand-drawn cartoon cutscenes between streamed-CG runs through an underwater dystopia.</x:v>
      </x:c>
      <x:c r="AB605" s="9" t="str">
        <x:v>None known</x:v>
      </x:c>
      <x:c r="AC605" s="9" t="str">
        <x:v>320x200 streamed CG plus hand-animated cutscenes</x:v>
      </x:c>
      <x:c r="AD605" s="9" t="str">
        <x:v>Hard</x:v>
      </x:c>
      <x:c r="AE605" s="9" t="str">
        <x:v>Single ending</x:v>
      </x:c>
      <x:c r="AF605" s="9" t="str">
        <x:v>ScummVM added support for it in 2022, and GOG released it soon after.</x:v>
      </x:c>
      <x:c r="AG605" s="9" t="str">
        <x:v>Big box; jewel case</x:v>
      </x:c>
      <x:c r="AH605" s="9" t="str">
        <x:v>Yes (GOG)</x:v>
      </x:c>
      <x:c r="AI605" s="9" t="str">
        <x:v>Easy</x:v>
      </x:c>
      <x:c r="AJ605" s="9" t="str">
        <x:v>GOG, or original discs in ScummVM</x:v>
      </x:c>
      <x:c r="AK605" s="9" t="str"/>
      <x:c r="AL605" s="10" t="n">
        <x:v>11.12</x:v>
      </x:c>
      <x:c r="AM605" s="10" t="n">
        <x:v>22.49</x:v>
      </x:c>
      <x:c r="AN605" s="10" t="n">
        <x:v>49.99</x:v>
      </x:c>
      <x:c r="AO605" s="9" t="str">
        <x:v>2026-10-24</x:v>
      </x:c>
      <x:c r="AP605" s="11" t="str">
        <x:f>HYPERLINK("https://www.pricecharting.com/game/pc-games/wetlands","PriceCharting")</x:f>
        <x:v>PriceCharting</x:v>
      </x:c>
      <x:c r="AQ605" s="9" t="n">
        <x:v>2.09</x:v>
      </x:c>
      <x:c r="AR605" s="11" t="str">
        <x:v>Steam</x:v>
      </x:c>
      <x:c r="AS605" s="9" t="str">
        <x:f>HYPERLINK("https://store.steampowered.com/app/1367160/","Store")</x:f>
        <x:v>Store</x:v>
      </x:c>
      <x:c r="AT605" s="9" t="str">
        <x:v>2026-10-24</x:v>
      </x:c>
      <x:c r="AU605" s="9"/>
      <x:c r="AV605" s="9"/>
      <x:c r="AW605" s="9"/>
      <x:c r="AX605" s="9"/>
      <x:c r="AY605" s="9" t="str">
        <x:v>67%</x:v>
      </x:c>
      <x:c r="AZ605" s="9"/>
      <x:c r="BA605" s="11" t="str">
        <x:f>HYPERLINK("https://www.mobygames.com/game/dos/wetlands","MobyGames")</x:f>
        <x:v>MobyGames</x:v>
      </x:c>
      <x:c r="BB605" s="9"/>
      <x:c r="BC605" s="9"/>
      <x:c r="BD605" s="9"/>
      <x:c r="BE605" s="11" t="str">
        <x:f>HYPERLINK("https://en.wikipedia.org/wiki/Wetlands_(video_game)","Wikipedia")</x:f>
        <x:v>Wikipedia</x:v>
      </x:c>
      <x:c r="BF605" s="11" t="str">
        <x:f>HYPERLINK("https://backloggd.com/search/games/Wetlands/","Backloggd")</x:f>
        <x:v>Backloggd</x:v>
      </x:c>
      <x:c r="BG605" s="9"/>
      <x:c r="BH605" s="9"/>
      <x:c r="BI605" s="12" t="str">
        <x:v>No</x:v>
      </x:c>
      <x:c r="BJ605" s="12" t="str"/>
      <x:c r="BK605" s="12" t="str">
        <x:v>No</x:v>
      </x:c>
      <x:c r="BL605" s="12" t="str"/>
      <x:c r="BM605" s="12" t="str"/>
      <x:c r="BN605" s="12" t="str"/>
      <x:c r="BO605" s="12" t="str"/>
      <x:c r="BP605" s="12" t="str"/>
      <x:c r="BQ605" s="12" t="str"/>
    </x:row>
    <x:row r="606">
      <x:c r="A606" s="9" t="str">
        <x:v>pc-76</x:v>
      </x:c>
      <x:c r="B606" s="9" t="str">
        <x:v>hardline</x:v>
      </x:c>
      <x:c r="C606" s="9" t="str">
        <x:v>PC</x:v>
      </x:c>
      <x:c r="D606" s="9" t="str">
        <x:v>Hardline</x:v>
      </x:c>
      <x:c r="E606" s="9" t="str"/>
      <x:c r="F606" s="9" t="str">
        <x:v>Cryo Interactive</x:v>
      </x:c>
      <x:c r="G606" s="9" t="str">
        <x:v>Virgin Interactive</x:v>
      </x:c>
      <x:c r="H606" s="9" t="n">
        <x:v>1996</x:v>
      </x:c>
      <x:c r="I606" s="9" t="str">
        <x:v>Yes</x:v>
      </x:c>
      <x:c r="J606" s="9" t="str">
        <x:v>No</x:v>
      </x:c>
      <x:c r="K606" s="9" t="str">
        <x:v>Yes</x:v>
      </x:c>
      <x:c r="L606" s="9" t="str">
        <x:v>No</x:v>
      </x:c>
      <x:c r="M606" s="9" t="str">
        <x:v>FMV shooter</x:v>
      </x:c>
      <x:c r="N606" s="9" t="str">
        <x:v>Live-action + CG</x:v>
      </x:c>
      <x:c r="O606" s="9" t="n">
        <x:v>9</x:v>
      </x:c>
      <x:c r="P606" s="9" t="str">
        <x:v>Interactive movie</x:v>
      </x:c>
      <x:c r="Q606" s="9" t="str">
        <x:v>Released</x:v>
      </x:c>
      <x:c r="R606" s="9" t="str">
        <x:v>PC original (MS-DOS/Windows, 1996)</x:v>
      </x:c>
      <x:c r="S606" s="9" t="str">
        <x:v>None</x:v>
      </x:c>
      <x:c r="T606" s="9" t="str">
        <x:v>Unknown — verify</x:v>
      </x:c>
      <x:c r="U606" s="9" t="n">
        <x:v>3</x:v>
      </x:c>
      <x:c r="V606" s="9" t="str">
        <x:v>Yes</x:v>
      </x:c>
      <x:c r="W606" s="9" t="str">
        <x:v>486DX2/66, 8 MB RAM, 2x CD-ROM, SVGA; DOS &amp; Win95 (verify)</x:v>
      </x:c>
      <x:c r="X606" s="9" t="str">
        <x:v>Low</x:v>
      </x:c>
      <x:c r="Y606" s="9" t="str"/>
      <x:c r="Z606" s="9" t="str">
        <x:v>2–3 hr</x:v>
      </x:c>
      <x:c r="AA606" s="9" t="str">
        <x:v>Cryo's live-action shooter against a cult in a ruined future city, with actors filmed against CG sets.</x:v>
      </x:c>
      <x:c r="AB606" s="9" t="str">
        <x:v>None known</x:v>
      </x:c>
      <x:c r="AC606" s="9" t="str">
        <x:v>Full-screen live-action over CG backgrounds (verify)</x:v>
      </x:c>
      <x:c r="AD606" s="9" t="str">
        <x:v>Moderate</x:v>
      </x:c>
      <x:c r="AE606" s="9" t="str">
        <x:v>Unknown — verify</x:v>
      </x:c>
      <x:c r="AF606" s="9" t="str">
        <x:v>One of a run of Cryo FMV action games of the mid-1990s alongside The Raven Project.</x:v>
      </x:c>
      <x:c r="AG606" s="9" t="str">
        <x:v>Big box; jewel case</x:v>
      </x:c>
      <x:c r="AH606" s="9" t="str">
        <x:v>No</x:v>
      </x:c>
      <x:c r="AI606" s="9" t="str">
        <x:v>Easy</x:v>
      </x:c>
      <x:c r="AJ606" s="9" t="str">
        <x:v>Original discs in DOSBox</x:v>
      </x:c>
      <x:c r="AK606" s="9" t="str">
        <x:v>Disc count and cast unconfirmed (verify).</x:v>
      </x:c>
      <x:c r="AL606" s="10" t="n">
        <x:v>10</x:v>
      </x:c>
      <x:c r="AM606" s="10" t="n">
        <x:v>41.71</x:v>
      </x:c>
      <x:c r="AN606" s="10" t="n">
        <x:v>83</x:v>
      </x:c>
      <x:c r="AO606" s="9" t="str">
        <x:v>2026-10-24</x:v>
      </x:c>
      <x:c r="AP606" s="11" t="str">
        <x:f>HYPERLINK("https://www.pricecharting.com/game/pc-games/hardline","PriceCharting")</x:f>
        <x:v>PriceCharting</x:v>
      </x:c>
      <x:c r="AQ606" s="9"/>
      <x:c r="AR606" s="9"/>
      <x:c r="AS606" s="9"/>
      <x:c r="AT606" s="9"/>
      <x:c r="AU606" s="9"/>
      <x:c r="AV606" s="9"/>
      <x:c r="AW606" s="9"/>
      <x:c r="AX606" s="9"/>
      <x:c r="AY606" s="9" t="str">
        <x:v>54%</x:v>
      </x:c>
      <x:c r="AZ606" s="9" t="str">
        <x:v>3.2</x:v>
      </x:c>
      <x:c r="BA606" s="11" t="str">
        <x:f>HYPERLINK("https://www.mobygames.com/game/dos/hardline","MobyGames")</x:f>
        <x:v>MobyGames</x:v>
      </x:c>
      <x:c r="BB606" s="9"/>
      <x:c r="BC606" s="9"/>
      <x:c r="BD606" s="9"/>
      <x:c r="BE606" s="11" t="str">
        <x:f>HYPERLINK("https://en.wikipedia.org/wiki/Hardline_(video_game)","Wikipedia")</x:f>
        <x:v>Wikipedia</x:v>
      </x:c>
      <x:c r="BF606" s="11" t="str">
        <x:f>HYPERLINK("https://backloggd.com/search/games/Hardline/","Backloggd")</x:f>
        <x:v>Backloggd</x:v>
      </x:c>
      <x:c r="BG606" s="9"/>
      <x:c r="BH606" s="9"/>
      <x:c r="BI606" s="12" t="str">
        <x:v>No</x:v>
      </x:c>
      <x:c r="BJ606" s="12" t="str"/>
      <x:c r="BK606" s="12" t="str">
        <x:v>No</x:v>
      </x:c>
      <x:c r="BL606" s="12" t="str"/>
      <x:c r="BM606" s="12" t="str"/>
      <x:c r="BN606" s="12" t="str"/>
      <x:c r="BO606" s="12" t="str"/>
      <x:c r="BP606" s="12" t="str"/>
      <x:c r="BQ606" s="12" t="str"/>
    </x:row>
    <x:row r="607">
      <x:c r="A607" s="9" t="str">
        <x:v>pc-77</x:v>
      </x:c>
      <x:c r="B607" s="9" t="str">
        <x:v>assassin-2015</x:v>
      </x:c>
      <x:c r="C607" s="9" t="str">
        <x:v>PC</x:v>
      </x:c>
      <x:c r="D607" s="9" t="str">
        <x:v>Assassin 2015</x:v>
      </x:c>
      <x:c r="E607" s="9" t="str"/>
      <x:c r="F607" s="9" t="str">
        <x:v>Inscape</x:v>
      </x:c>
      <x:c r="G607" s="9" t="str">
        <x:v>Inscape</x:v>
      </x:c>
      <x:c r="H607" s="9" t="n">
        <x:v>1996</x:v>
      </x:c>
      <x:c r="I607" s="9" t="str">
        <x:v>Yes</x:v>
      </x:c>
      <x:c r="J607" s="9" t="str">
        <x:v>No</x:v>
      </x:c>
      <x:c r="K607" s="9" t="str">
        <x:v>No</x:v>
      </x:c>
      <x:c r="L607" s="9" t="str">
        <x:v>No</x:v>
      </x:c>
      <x:c r="M607" s="9" t="str">
        <x:v>First-person shooter</x:v>
      </x:c>
      <x:c r="N607" s="9" t="str">
        <x:v>Live-action + CG</x:v>
      </x:c>
      <x:c r="O607" s="9" t="n">
        <x:v>4</x:v>
      </x:c>
      <x:c r="P607" s="9" t="str">
        <x:v>Interactive movie</x:v>
      </x:c>
      <x:c r="Q607" s="9" t="str">
        <x:v>Released</x:v>
      </x:c>
      <x:c r="R607" s="9" t="str">
        <x:v>PC original (Windows 95, 1996)</x:v>
      </x:c>
      <x:c r="S607" s="9" t="str">
        <x:v>None</x:v>
      </x:c>
      <x:c r="T607" s="9" t="str">
        <x:v>Unknown — verify</x:v>
      </x:c>
      <x:c r="U607" s="9" t="n">
        <x:v>1</x:v>
      </x:c>
      <x:c r="V607" s="9" t="str">
        <x:v>Yes</x:v>
      </x:c>
      <x:c r="W607" s="9" t="str">
        <x:v>Pentium 75, 8 MB RAM, 2x CD-ROM, SVGA; Win95 (verify)</x:v>
      </x:c>
      <x:c r="X607" s="9" t="str">
        <x:v>Low</x:v>
      </x:c>
      <x:c r="Y607" s="9" t="str"/>
      <x:c r="Z607" s="9" t="str">
        <x:v>Unknown — verify</x:v>
      </x:c>
      <x:c r="AA607" s="9" t="str">
        <x:v>Inscape, the multimedia label behind The Dark Eye, tried a live-action sci-fi shooter.</x:v>
      </x:c>
      <x:c r="AB607" s="9" t="str">
        <x:v>None known</x:v>
      </x:c>
      <x:c r="AC607" s="9" t="str">
        <x:v>Unknown — verify</x:v>
      </x:c>
      <x:c r="AD607" s="9" t="str">
        <x:v>Unknown — verify</x:v>
      </x:c>
      <x:c r="AE607" s="9" t="str">
        <x:v>Unknown — verify</x:v>
      </x:c>
      <x:c r="AF607" s="9" t="str">
        <x:v>Inscape was the Warner-backed CD-ROM studio founded by Peter Gabriel's collaborators that also made The Dark Eye.</x:v>
      </x:c>
      <x:c r="AG607" s="9" t="str"/>
      <x:c r="AH607" s="9" t="str">
        <x:v>No</x:v>
      </x:c>
      <x:c r="AI607" s="9" t="str">
        <x:v>Easy</x:v>
      </x:c>
      <x:c r="AJ607" s="9" t="str">
        <x:v>86Box/PCem or Windows 95/98 VM</x:v>
      </x:c>
      <x:c r="AK607" s="9" t="str">
        <x:v>Amount of streamed video unconfirmed; fmv 4 is a placeholder (verify, may be an exclude).</x:v>
      </x:c>
      <x:c r="AL607" s="10" t="n">
        <x:v>4.3</x:v>
      </x:c>
      <x:c r="AM607" s="10" t="n">
        <x:v>18.47</x:v>
      </x:c>
      <x:c r="AN607" s="10" t="n">
        <x:v>49.99</x:v>
      </x:c>
      <x:c r="AO607" s="9" t="str">
        <x:v>2026-10-24</x:v>
      </x:c>
      <x:c r="AP607" s="11" t="str">
        <x:f>HYPERLINK("https://www.pricecharting.com/game/pc-games/assassin-2015","PriceCharting")</x:f>
        <x:v>PriceCharting</x:v>
      </x:c>
      <x:c r="AQ607" s="9"/>
      <x:c r="AR607" s="9"/>
      <x:c r="AS607" s="9"/>
      <x:c r="AT607" s="9"/>
      <x:c r="AU607" s="9"/>
      <x:c r="AV607" s="9"/>
      <x:c r="AW607" s="9"/>
      <x:c r="AX607" s="9"/>
      <x:c r="AY607" s="9" t="str">
        <x:v>50%</x:v>
      </x:c>
      <x:c r="AZ607" s="9"/>
      <x:c r="BA607" s="11" t="str">
        <x:f>HYPERLINK("https://www.mobygames.com/game/windows/assassin-2015","MobyGames")</x:f>
        <x:v>MobyGames</x:v>
      </x:c>
      <x:c r="BB607" s="9"/>
      <x:c r="BC607" s="9"/>
      <x:c r="BD607" s="9"/>
      <x:c r="BE607" s="11" t="str">
        <x:f>HYPERLINK("https://en.wikipedia.org/wiki/Assassin_2015","Wikipedia")</x:f>
        <x:v>Wikipedia</x:v>
      </x:c>
      <x:c r="BF607" s="11" t="str">
        <x:f>HYPERLINK("https://backloggd.com/search/games/Assassin%202015/","Backloggd")</x:f>
        <x:v>Backloggd</x:v>
      </x:c>
      <x:c r="BG607" s="9"/>
      <x:c r="BH607" s="9"/>
      <x:c r="BI607" s="12" t="str">
        <x:v>No</x:v>
      </x:c>
      <x:c r="BJ607" s="12" t="str"/>
      <x:c r="BK607" s="12" t="str">
        <x:v>No</x:v>
      </x:c>
      <x:c r="BL607" s="12" t="str"/>
      <x:c r="BM607" s="12" t="str"/>
      <x:c r="BN607" s="12" t="str"/>
      <x:c r="BO607" s="12" t="str"/>
      <x:c r="BP607" s="12" t="str"/>
      <x:c r="BQ607" s="12" t="str"/>
    </x:row>
    <x:row r="608">
      <x:c r="A608" s="9" t="str">
        <x:v>pc-78</x:v>
      </x:c>
      <x:c r="B608" s="9" t="str">
        <x:v>shockwave-assault</x:v>
      </x:c>
      <x:c r="C608" s="9" t="str">
        <x:v>PC</x:v>
      </x:c>
      <x:c r="D608" s="9" t="str">
        <x:v>Shockwave Assault</x:v>
      </x:c>
      <x:c r="E608" s="9" t="str"/>
      <x:c r="F608" s="9" t="str">
        <x:v>Advanced Technology Group / Electronic Arts</x:v>
      </x:c>
      <x:c r="G608" s="9" t="str">
        <x:v>Electronic Arts</x:v>
      </x:c>
      <x:c r="H608" s="9" t="n">
        <x:v>1996</x:v>
      </x:c>
      <x:c r="I608" s="9" t="str">
        <x:v>Yes</x:v>
      </x:c>
      <x:c r="J608" s="9" t="str">
        <x:v>No</x:v>
      </x:c>
      <x:c r="K608" s="9" t="str">
        <x:v>Yes</x:v>
      </x:c>
      <x:c r="L608" s="9" t="str">
        <x:v>No</x:v>
      </x:c>
      <x:c r="M608" s="9" t="str">
        <x:v>Space/flight combat</x:v>
      </x:c>
      <x:c r="N608" s="9" t="str">
        <x:v>Live-action + CG</x:v>
      </x:c>
      <x:c r="O608" s="9" t="n">
        <x:v>3</x:v>
      </x:c>
      <x:c r="P608" s="9" t="str">
        <x:v>Cutscenes only</x:v>
      </x:c>
      <x:c r="Q608" s="9" t="str">
        <x:v>Released</x:v>
      </x:c>
      <x:c r="R608" s="9" t="str">
        <x:v>3DO original (Shock Wave + Operation Jumpgate)</x:v>
      </x:c>
      <x:c r="S608" s="9" t="str">
        <x:v>3DO, PlayStation, Sega Saturn</x:v>
      </x:c>
      <x:c r="T608" s="9" t="str">
        <x:v>Unknown — verify</x:v>
      </x:c>
      <x:c r="U608" s="9" t="n">
        <x:v>1</x:v>
      </x:c>
      <x:c r="V608" s="9" t="str">
        <x:v>Yes</x:v>
      </x:c>
      <x:c r="W608" s="9" t="str">
        <x:v>Pentium, 8 MB RAM, 2x CD-ROM, SVGA; Win95 (verify)</x:v>
      </x:c>
      <x:c r="X608" s="9" t="str">
        <x:v>Low</x:v>
      </x:c>
      <x:c r="Y608" s="9" t="str"/>
      <x:c r="Z608" s="9" t="str">
        <x:v>4–6 hr</x:v>
      </x:c>
      <x:c r="AA608" s="9" t="str">
        <x:v>Live-action alien-invasion briefings bookend 3D flight combat.</x:v>
      </x:c>
      <x:c r="AB608" s="9" t="str">
        <x:v>None known</x:v>
      </x:c>
      <x:c r="AC608" s="9" t="str">
        <x:v>Unknown — verify</x:v>
      </x:c>
      <x:c r="AD608" s="9" t="str">
        <x:v>Moderate–hard</x:v>
      </x:c>
      <x:c r="AE608" s="9" t="str">
        <x:v>Single ending</x:v>
      </x:c>
      <x:c r="AF608" s="9" t="str">
        <x:v>Combines the 3DO's Shock Wave and its Operation Jumpgate add-on.</x:v>
      </x:c>
      <x:c r="AG608" s="9" t="str"/>
      <x:c r="AH608" s="9" t="str">
        <x:v>No</x:v>
      </x:c>
      <x:c r="AI608" s="9" t="str">
        <x:v>Easy</x:v>
      </x:c>
      <x:c r="AJ608" s="9" t="str">
        <x:v>86Box/PCem or Windows 95/98 VM</x:v>
      </x:c>
      <x:c r="AK608" s="9" t="str">
        <x:v>PC Windows 95 version confirmed by a PriceCharting PC listing; year 1996 (verify).</x:v>
      </x:c>
      <x:c r="AL608" s="10" t="n">
        <x:v>22</x:v>
      </x:c>
      <x:c r="AM608" s="10" t="n">
        <x:v>27.5</x:v>
      </x:c>
      <x:c r="AN608" s="10" t="n">
        <x:v>55</x:v>
      </x:c>
      <x:c r="AO608" s="9" t="str">
        <x:v>2026-10-24</x:v>
      </x:c>
      <x:c r="AP608" s="11" t="str">
        <x:f>HYPERLINK("https://www.pricecharting.com/game/pc-games/shockwave-assault","PriceCharting")</x:f>
        <x:v>PriceCharting</x:v>
      </x:c>
      <x:c r="AQ608" s="9"/>
      <x:c r="AR608" s="9"/>
      <x:c r="AS608" s="9"/>
      <x:c r="AT608" s="9"/>
      <x:c r="AU608" s="9"/>
      <x:c r="AV608" s="9"/>
      <x:c r="AW608" s="9"/>
      <x:c r="AX608" s="9"/>
      <x:c r="AY608" s="9" t="str">
        <x:v>60%</x:v>
      </x:c>
      <x:c r="AZ608" s="9"/>
      <x:c r="BA608" s="11" t="str">
        <x:f>HYPERLINK("https://www.mobygames.com/game/windows/shockwave-assault","MobyGames")</x:f>
        <x:v>MobyGames</x:v>
      </x:c>
      <x:c r="BB608" s="9"/>
      <x:c r="BC608" s="9"/>
      <x:c r="BD608" s="9"/>
      <x:c r="BE608" s="11" t="str">
        <x:f>HYPERLINK("https://en.wikipedia.org/wiki/Shockwave_Assault","Wikipedia")</x:f>
        <x:v>Wikipedia</x:v>
      </x:c>
      <x:c r="BF608" s="11" t="str">
        <x:f>HYPERLINK("https://backloggd.com/search/games/Shockwave%20Assault/","Backloggd")</x:f>
        <x:v>Backloggd</x:v>
      </x:c>
      <x:c r="BG608" s="9"/>
      <x:c r="BH608" s="9"/>
      <x:c r="BI608" s="12" t="str">
        <x:v>No</x:v>
      </x:c>
      <x:c r="BJ608" s="12" t="str"/>
      <x:c r="BK608" s="12" t="str">
        <x:v>No</x:v>
      </x:c>
      <x:c r="BL608" s="12" t="str"/>
      <x:c r="BM608" s="12" t="str"/>
      <x:c r="BN608" s="12" t="str"/>
      <x:c r="BO608" s="12" t="str"/>
      <x:c r="BP608" s="12" t="str"/>
      <x:c r="BQ608" s="12" t="str"/>
    </x:row>
    <x:row r="609">
      <x:c r="A609" s="9" t="str">
        <x:v>pc-79</x:v>
      </x:c>
      <x:c r="B609" s="9" t="str">
        <x:v>the-hive</x:v>
      </x:c>
      <x:c r="C609" s="9" t="str">
        <x:v>PC</x:v>
      </x:c>
      <x:c r="D609" s="9" t="str">
        <x:v>The Hive</x:v>
      </x:c>
      <x:c r="E609" s="9" t="str"/>
      <x:c r="F609" s="9" t="str">
        <x:v>Rainmaker Software</x:v>
      </x:c>
      <x:c r="G609" s="9" t="str">
        <x:v>Trimark Interactive</x:v>
      </x:c>
      <x:c r="H609" s="9" t="n">
        <x:v>1995</x:v>
      </x:c>
      <x:c r="I609" s="9" t="str">
        <x:v>Yes</x:v>
      </x:c>
      <x:c r="J609" s="9" t="str">
        <x:v>No</x:v>
      </x:c>
      <x:c r="K609" s="9" t="str">
        <x:v>No</x:v>
      </x:c>
      <x:c r="L609" s="9" t="str">
        <x:v>No</x:v>
      </x:c>
      <x:c r="M609" s="9" t="str">
        <x:v>Rail shooter</x:v>
      </x:c>
      <x:c r="N609" s="9" t="str">
        <x:v>Live-action + pre-rendered CG</x:v>
      </x:c>
      <x:c r="O609" s="9" t="n">
        <x:v>9</x:v>
      </x:c>
      <x:c r="P609" s="9" t="str">
        <x:v>Pre-rendered CG</x:v>
      </x:c>
      <x:c r="Q609" s="9" t="str">
        <x:v>Released</x:v>
      </x:c>
      <x:c r="R609" s="9" t="str">
        <x:v>PC original (Windows, 1995)</x:v>
      </x:c>
      <x:c r="S609" s="9" t="str">
        <x:v>PlayStation</x:v>
      </x:c>
      <x:c r="T609" s="9" t="str">
        <x:v>Unknown — verify</x:v>
      </x:c>
      <x:c r="U609" s="9" t="n">
        <x:v>1</x:v>
      </x:c>
      <x:c r="V609" s="9" t="str">
        <x:v>Yes</x:v>
      </x:c>
      <x:c r="W609" s="9" t="str">
        <x:v>486DX2/66, 8 MB RAM, 2x CD-ROM, SVGA; Win 3.1/95 (verify)</x:v>
      </x:c>
      <x:c r="X609" s="9" t="str">
        <x:v>Low</x:v>
      </x:c>
      <x:c r="Y609" s="9" t="str"/>
      <x:c r="Z609" s="9" t="str">
        <x:v>1–2 hr</x:v>
      </x:c>
      <x:c r="AA609" s="9" t="str">
        <x:v>A bug-infested rail shooter over streamed CG, wrapped in cheesy live-action briefings from Trimark, the B-movie studio.</x:v>
      </x:c>
      <x:c r="AB609" s="9" t="str">
        <x:v>None known</x:v>
      </x:c>
      <x:c r="AC609" s="9" t="str">
        <x:v>Unknown — verify</x:v>
      </x:c>
      <x:c r="AD609" s="9" t="str">
        <x:v>Moderate</x:v>
      </x:c>
      <x:c r="AE609" s="9" t="str">
        <x:v>Linear</x:v>
      </x:c>
      <x:c r="AF609" s="9" t="str">
        <x:v>Published by film studio Trimark Pictures' games arm during its brief mid-90s run.</x:v>
      </x:c>
      <x:c r="AG609" s="9" t="str"/>
      <x:c r="AH609" s="9" t="str">
        <x:v>No</x:v>
      </x:c>
      <x:c r="AI609" s="9" t="str">
        <x:v>Easy</x:v>
      </x:c>
      <x:c r="AJ609" s="9" t="str">
        <x:v>86Box/PCem for Windows 3.1/95-era titles</x:v>
      </x:c>
      <x:c r="AK609" s="9" t="str"/>
      <x:c r="AL609" s="10" t="n">
        <x:v>5</x:v>
      </x:c>
      <x:c r="AM609" s="10" t="n">
        <x:v>9.95</x:v>
      </x:c>
      <x:c r="AN609" s="10" t="n">
        <x:v>24.47</x:v>
      </x:c>
      <x:c r="AO609" s="9" t="str">
        <x:v>2026-10-24</x:v>
      </x:c>
      <x:c r="AP609" s="11" t="str">
        <x:f>HYPERLINK("https://www.pricecharting.com/game/pc-games/the-hive","PriceCharting")</x:f>
        <x:v>PriceCharting</x:v>
      </x:c>
      <x:c r="AQ609" s="9" t="n">
        <x:v>9.99</x:v>
      </x:c>
      <x:c r="AR609" s="11" t="str">
        <x:v>GOG</x:v>
      </x:c>
      <x:c r="AS609" s="9" t="str">
        <x:f>HYPERLINK("https://www.gog.com/en/game/the_hive","Store")</x:f>
        <x:v>Store</x:v>
      </x:c>
      <x:c r="AT609" s="9" t="str">
        <x:v>2026-10-25</x:v>
      </x:c>
      <x:c r="AU609" s="9"/>
      <x:c r="AV609" s="9"/>
      <x:c r="AW609" s="9"/>
      <x:c r="AX609" s="9"/>
      <x:c r="AY609" s="9"/>
      <x:c r="AZ609" s="9"/>
      <x:c r="BA609" s="11" t="str">
        <x:f>HYPERLINK("https://www.mobygames.com/search/?q=The+Hive","MobyGames")</x:f>
        <x:v>MobyGames</x:v>
      </x:c>
      <x:c r="BB609" s="9" t="str">
        <x:v>40%</x:v>
      </x:c>
      <x:c r="BC609" s="9" t="str">
        <x:v>GameRankings, 1 review</x:v>
      </x:c>
      <x:c r="BD609" s="9" t="str">
        <x:f>HYPERLINK("https://web.archive.org/web/20191209014135id_/https://www.gamerankings.com/pc/565205-the-hive/","Source")</x:f>
        <x:v>Source</x:v>
      </x:c>
      <x:c r="BE609" s="11" t="str">
        <x:f>HYPERLINK("https://en.wikipedia.org/wiki/The_Hive_(video_game)","Wikipedia")</x:f>
        <x:v>Wikipedia</x:v>
      </x:c>
      <x:c r="BF609" s="11" t="str">
        <x:f>HYPERLINK("https://backloggd.com/search/games/The%20Hive/","Backloggd")</x:f>
        <x:v>Backloggd</x:v>
      </x:c>
      <x:c r="BG609" s="9"/>
      <x:c r="BH609" s="9"/>
      <x:c r="BI609" s="12" t="str">
        <x:v>No</x:v>
      </x:c>
      <x:c r="BJ609" s="12" t="str"/>
      <x:c r="BK609" s="12" t="str">
        <x:v>No</x:v>
      </x:c>
      <x:c r="BL609" s="12" t="str"/>
      <x:c r="BM609" s="12" t="str"/>
      <x:c r="BN609" s="12" t="str"/>
      <x:c r="BO609" s="12" t="str"/>
      <x:c r="BP609" s="12" t="str"/>
      <x:c r="BQ609" s="12" t="str"/>
    </x:row>
    <x:row r="610">
      <x:c r="A610" s="9" t="str">
        <x:v>pc-80</x:v>
      </x:c>
      <x:c r="B610" s="9" t="str">
        <x:v>cyclemania</x:v>
      </x:c>
      <x:c r="C610" s="9" t="str">
        <x:v>PC</x:v>
      </x:c>
      <x:c r="D610" s="9" t="str">
        <x:v>Cyclemania</x:v>
      </x:c>
      <x:c r="E610" s="9" t="str"/>
      <x:c r="F610" s="9" t="str">
        <x:v>Compro Games</x:v>
      </x:c>
      <x:c r="G610" s="9" t="str">
        <x:v>Accolade</x:v>
      </x:c>
      <x:c r="H610" s="9" t="n">
        <x:v>1994</x:v>
      </x:c>
      <x:c r="I610" s="9" t="str">
        <x:v>Yes</x:v>
      </x:c>
      <x:c r="J610" s="9" t="str">
        <x:v>No</x:v>
      </x:c>
      <x:c r="K610" s="9" t="str">
        <x:v>Yes</x:v>
      </x:c>
      <x:c r="L610" s="9" t="str">
        <x:v>No</x:v>
      </x:c>
      <x:c r="M610" s="9" t="str">
        <x:v>Motorcycle racing</x:v>
      </x:c>
      <x:c r="N610" s="9" t="str">
        <x:v>Live-action</x:v>
      </x:c>
      <x:c r="O610" s="9" t="n">
        <x:v>9</x:v>
      </x:c>
      <x:c r="P610" s="9" t="str">
        <x:v>Interactive movie</x:v>
      </x:c>
      <x:c r="Q610" s="9" t="str">
        <x:v>Released</x:v>
      </x:c>
      <x:c r="R610" s="9" t="str">
        <x:v>PC original (MS-DOS, 1994)</x:v>
      </x:c>
      <x:c r="S610" s="9" t="str">
        <x:v>None</x:v>
      </x:c>
      <x:c r="T610" s="9" t="str">
        <x:v>—</x:v>
      </x:c>
      <x:c r="U610" s="9" t="n">
        <x:v>1</x:v>
      </x:c>
      <x:c r="V610" s="9" t="str">
        <x:v>No</x:v>
      </x:c>
      <x:c r="W610" s="9" t="str">
        <x:v>386/33, 4 MB RAM, 1x CD-ROM, VGA; DOS (verify)</x:v>
      </x:c>
      <x:c r="X610" s="9" t="str">
        <x:v>Low</x:v>
      </x:c>
      <x:c r="Y610" s="9" t="str"/>
      <x:c r="Z610" s="9" t="str">
        <x:v>1 hr</x:v>
      </x:c>
      <x:c r="AA610" s="9" t="str">
        <x:v>Motorbike racing with sprite riders laid over real filmed road footage.</x:v>
      </x:c>
      <x:c r="AB610" s="9" t="str">
        <x:v>None known</x:v>
      </x:c>
      <x:c r="AC610" s="9" t="str">
        <x:v>320x200 filmed road footage (verify)</x:v>
      </x:c>
      <x:c r="AD610" s="9" t="str">
        <x:v>Moderate</x:v>
      </x:c>
      <x:c r="AE610" s="9" t="str">
        <x:v>Single ending</x:v>
      </x:c>
      <x:c r="AF610" s="9" t="str">
        <x:v>The tracks were filmed from a moving vehicle on real roads, with the bikes added as sprites on top.</x:v>
      </x:c>
      <x:c r="AG610" s="9" t="str"/>
      <x:c r="AH610" s="9" t="str">
        <x:v>Yes (Steam)</x:v>
      </x:c>
      <x:c r="AI610" s="9" t="str">
        <x:v>Easy</x:v>
      </x:c>
      <x:c r="AJ610" s="9" t="str">
        <x:v>Steam</x:v>
      </x:c>
      <x:c r="AK610" s="9" t="str"/>
      <x:c r="AL610" s="10" t="n">
        <x:v>0.99</x:v>
      </x:c>
      <x:c r="AM610" s="10" t="n">
        <x:v>6.12</x:v>
      </x:c>
      <x:c r="AN610" s="10" t="n">
        <x:v>12</x:v>
      </x:c>
      <x:c r="AO610" s="9" t="str">
        <x:v>2026-10-24</x:v>
      </x:c>
      <x:c r="AP610" s="11" t="str">
        <x:f>HYPERLINK("https://www.pricecharting.com/game/pc-games/cyclemania","PriceCharting")</x:f>
        <x:v>PriceCharting</x:v>
      </x:c>
      <x:c r="AQ610" s="9" t="n">
        <x:v>4.99</x:v>
      </x:c>
      <x:c r="AR610" s="11" t="str">
        <x:v>Steam</x:v>
      </x:c>
      <x:c r="AS610" s="9" t="str">
        <x:f>HYPERLINK("https://store.steampowered.com/app/1471680/","Store")</x:f>
        <x:v>Store</x:v>
      </x:c>
      <x:c r="AT610" s="9" t="str">
        <x:v>2026-10-24</x:v>
      </x:c>
      <x:c r="AU610" s="9"/>
      <x:c r="AV610" s="9"/>
      <x:c r="AW610" s="9"/>
      <x:c r="AX610" s="9"/>
      <x:c r="AY610" s="9" t="str">
        <x:v>57%</x:v>
      </x:c>
      <x:c r="AZ610" s="9"/>
      <x:c r="BA610" s="11" t="str">
        <x:f>HYPERLINK("https://www.mobygames.com/game/dos/cyclemania","MobyGames")</x:f>
        <x:v>MobyGames</x:v>
      </x:c>
      <x:c r="BB610" s="9"/>
      <x:c r="BC610" s="9"/>
      <x:c r="BD610" s="9"/>
      <x:c r="BE610" s="11" t="str">
        <x:f>HYPERLINK("https://en.wikipedia.org/wiki/Cyclemania","Wikipedia")</x:f>
        <x:v>Wikipedia</x:v>
      </x:c>
      <x:c r="BF610" s="11" t="str">
        <x:f>HYPERLINK("https://backloggd.com/search/games/Cyclemania/","Backloggd")</x:f>
        <x:v>Backloggd</x:v>
      </x:c>
      <x:c r="BG610" s="9"/>
      <x:c r="BH610" s="9"/>
      <x:c r="BI610" s="12" t="str">
        <x:v>No</x:v>
      </x:c>
      <x:c r="BJ610" s="12" t="str"/>
      <x:c r="BK610" s="12" t="str">
        <x:v>No</x:v>
      </x:c>
      <x:c r="BL610" s="12" t="str"/>
      <x:c r="BM610" s="12" t="str"/>
      <x:c r="BN610" s="12" t="str"/>
      <x:c r="BO610" s="12" t="str"/>
      <x:c r="BP610" s="12" t="str"/>
      <x:c r="BQ610" s="12" t="str"/>
    </x:row>
    <x:row r="611">
      <x:c r="A611" s="9" t="str">
        <x:v>pc-81</x:v>
      </x:c>
      <x:c r="B611" s="9" t="str">
        <x:v>time-commando</x:v>
      </x:c>
      <x:c r="C611" s="9" t="str">
        <x:v>PC</x:v>
      </x:c>
      <x:c r="D611" s="9" t="str">
        <x:v>Time Commando</x:v>
      </x:c>
      <x:c r="E611" s="9" t="str"/>
      <x:c r="F611" s="9" t="str">
        <x:v>Adeline Software International</x:v>
      </x:c>
      <x:c r="G611" s="9" t="str">
        <x:v>Activision (NA), Electronic Arts (EU)</x:v>
      </x:c>
      <x:c r="H611" s="9" t="n">
        <x:v>1996</x:v>
      </x:c>
      <x:c r="I611" s="9" t="str">
        <x:v>Yes</x:v>
      </x:c>
      <x:c r="J611" s="9" t="str">
        <x:v>No</x:v>
      </x:c>
      <x:c r="K611" s="9" t="str">
        <x:v>Yes</x:v>
      </x:c>
      <x:c r="L611" s="9" t="str">
        <x:v>No</x:v>
      </x:c>
      <x:c r="M611" s="9" t="str">
        <x:v>Action adventure</x:v>
      </x:c>
      <x:c r="N611" s="9" t="str">
        <x:v>Pre-rendered CG</x:v>
      </x:c>
      <x:c r="O611" s="9" t="n">
        <x:v>6</x:v>
      </x:c>
      <x:c r="P611" s="9" t="str">
        <x:v>Pre-rendered CG</x:v>
      </x:c>
      <x:c r="Q611" s="9" t="str">
        <x:v>Released</x:v>
      </x:c>
      <x:c r="R611" s="9" t="str">
        <x:v>PC original (MS-DOS/Windows 95, 1996)</x:v>
      </x:c>
      <x:c r="S611" s="9" t="str">
        <x:v>PlayStation, Sega Saturn (JP)</x:v>
      </x:c>
      <x:c r="T611" s="9" t="str">
        <x:v>—</x:v>
      </x:c>
      <x:c r="U611" s="9" t="n">
        <x:v>1</x:v>
      </x:c>
      <x:c r="V611" s="9" t="str">
        <x:v>Yes</x:v>
      </x:c>
      <x:c r="W611" s="9" t="str">
        <x:v>486DX2/66, 8 MB RAM, 2x CD-ROM, VGA; DOS &amp; Win95 (verify)</x:v>
      </x:c>
      <x:c r="X611" s="9" t="str">
        <x:v>Low</x:v>
      </x:c>
      <x:c r="Y611" s="9" t="str"/>
      <x:c r="Z611" s="9" t="str">
        <x:v>5–8 hr</x:v>
      </x:c>
      <x:c r="AA611" s="9" t="str">
        <x:v>A polygon hero fights through history on top of streamed pre-rendered video backgrounds that scroll as he walks.</x:v>
      </x:c>
      <x:c r="AB611" s="9" t="str">
        <x:v>None known</x:v>
      </x:c>
      <x:c r="AC611" s="9" t="str">
        <x:v>320x200 streamed CG backgrounds</x:v>
      </x:c>
      <x:c r="AD611" s="9" t="str">
        <x:v>Hard</x:v>
      </x:c>
      <x:c r="AE611" s="9" t="str">
        <x:v>Single ending</x:v>
      </x:c>
      <x:c r="AF611" s="9" t="str">
        <x:v>Made by Frédérick Raynal's Adeline between Little Big Adventure games.</x:v>
      </x:c>
      <x:c r="AG611" s="9" t="str"/>
      <x:c r="AH611" s="9" t="str">
        <x:v>Yes (GOG, Steam)</x:v>
      </x:c>
      <x:c r="AI611" s="9" t="str">
        <x:v>Easy</x:v>
      </x:c>
      <x:c r="AJ611" s="9" t="str">
        <x:v>GOG / Steam</x:v>
      </x:c>
      <x:c r="AK611" s="9" t="str"/>
      <x:c r="AL611" s="10" t="n">
        <x:v>5.22</x:v>
      </x:c>
      <x:c r="AM611" s="10" t="n">
        <x:v>20.85</x:v>
      </x:c>
      <x:c r="AN611" s="10" t="n">
        <x:v>96.05</x:v>
      </x:c>
      <x:c r="AO611" s="9" t="str">
        <x:v>2026-10-24</x:v>
      </x:c>
      <x:c r="AP611" s="11" t="str">
        <x:f>HYPERLINK("https://www.pricecharting.com/game/pc-games/time-commando","PriceCharting")</x:f>
        <x:v>PriceCharting</x:v>
      </x:c>
      <x:c r="AQ611" s="9" t="n">
        <x:v>5.99</x:v>
      </x:c>
      <x:c r="AR611" s="11" t="str">
        <x:v>Steam</x:v>
      </x:c>
      <x:c r="AS611" s="9" t="str">
        <x:f>HYPERLINK("https://store.steampowered.com/app/1758910/","Store")</x:f>
        <x:v>Store</x:v>
      </x:c>
      <x:c r="AT611" s="9" t="str">
        <x:v>2026-10-24</x:v>
      </x:c>
      <x:c r="AU611" s="9"/>
      <x:c r="AV611" s="9"/>
      <x:c r="AW611" s="9"/>
      <x:c r="AX611" s="9"/>
      <x:c r="AY611" s="9" t="str">
        <x:v>81%</x:v>
      </x:c>
      <x:c r="AZ611" s="9" t="str">
        <x:v>3.8</x:v>
      </x:c>
      <x:c r="BA611" s="11" t="str">
        <x:f>HYPERLINK("https://www.mobygames.com/game/dos/time-commando","MobyGames")</x:f>
        <x:v>MobyGames</x:v>
      </x:c>
      <x:c r="BB611" s="9"/>
      <x:c r="BC611" s="9"/>
      <x:c r="BD611" s="9"/>
      <x:c r="BE611" s="11" t="str">
        <x:f>HYPERLINK("https://en.wikipedia.org/wiki/Time_Commando","Wikipedia")</x:f>
        <x:v>Wikipedia</x:v>
      </x:c>
      <x:c r="BF611" s="11" t="str">
        <x:f>HYPERLINK("https://backloggd.com/search/games/Time%20Commando/","Backloggd")</x:f>
        <x:v>Backloggd</x:v>
      </x:c>
      <x:c r="BG611" s="9"/>
      <x:c r="BH611" s="9"/>
      <x:c r="BI611" s="12" t="str">
        <x:v>No</x:v>
      </x:c>
      <x:c r="BJ611" s="12" t="str"/>
      <x:c r="BK611" s="12" t="str">
        <x:v>No</x:v>
      </x:c>
      <x:c r="BL611" s="12" t="str"/>
      <x:c r="BM611" s="12" t="str"/>
      <x:c r="BN611" s="12" t="str"/>
      <x:c r="BO611" s="12" t="str"/>
      <x:c r="BP611" s="12" t="str"/>
      <x:c r="BQ611" s="12" t="str"/>
    </x:row>
    <x:row r="612">
      <x:c r="A612" s="9" t="str">
        <x:v>pc-82</x:v>
      </x:c>
      <x:c r="B612" s="9" t="str">
        <x:v>d</x:v>
      </x:c>
      <x:c r="C612" s="9" t="str">
        <x:v>PC</x:v>
      </x:c>
      <x:c r="D612" s="9" t="str">
        <x:v>D</x:v>
      </x:c>
      <x:c r="E612" s="9" t="str">
        <x:v>D no Shokutaku</x:v>
      </x:c>
      <x:c r="F612" s="9" t="str">
        <x:v>Warp</x:v>
      </x:c>
      <x:c r="G612" s="9" t="str">
        <x:v>Acclaim (NA/EU)</x:v>
      </x:c>
      <x:c r="H612" s="9" t="n">
        <x:v>1995</x:v>
      </x:c>
      <x:c r="I612" s="9" t="str">
        <x:v>Yes</x:v>
      </x:c>
      <x:c r="J612" s="9" t="str">
        <x:v>Yes</x:v>
      </x:c>
      <x:c r="K612" s="9" t="str">
        <x:v>Yes</x:v>
      </x:c>
      <x:c r="L612" s="9" t="str">
        <x:v>No</x:v>
      </x:c>
      <x:c r="M612" s="9" t="str">
        <x:v>Interactive movie / horror adventure</x:v>
      </x:c>
      <x:c r="N612" s="9" t="str">
        <x:v>Pre-rendered CG</x:v>
      </x:c>
      <x:c r="O612" s="9" t="n">
        <x:v>8</x:v>
      </x:c>
      <x:c r="P612" s="9" t="str">
        <x:v>Interactive movie</x:v>
      </x:c>
      <x:c r="Q612" s="9" t="str">
        <x:v>Released</x:v>
      </x:c>
      <x:c r="R612" s="9" t="str">
        <x:v>3DO original (1995)</x:v>
      </x:c>
      <x:c r="S612" s="9" t="str">
        <x:v>3DO, Sega Saturn, PlayStation</x:v>
      </x:c>
      <x:c r="T612" s="9" t="str">
        <x:v>Kenji Eno (director); 'digital actress' Laura</x:v>
      </x:c>
      <x:c r="U612" s="9" t="n">
        <x:v>2</x:v>
      </x:c>
      <x:c r="V612" s="9" t="str">
        <x:v>No</x:v>
      </x:c>
      <x:c r="W612" s="9" t="str">
        <x:v>486DX2/66, 8 MB RAM, 2x CD-ROM, SVGA; DOS &amp; Win95 (verify)</x:v>
      </x:c>
      <x:c r="X612" s="9" t="str">
        <x:v>Low</x:v>
      </x:c>
      <x:c r="Y612" s="9" t="str"/>
      <x:c r="Z612" s="9" t="str">
        <x:v>2 hr (real-time limit)</x:v>
      </x:c>
      <x:c r="AA612" s="9" t="str">
        <x:v>Kenji Eno's two-hour, no-pause horror movie about a hospital massacre, on PC from Acclaim.</x:v>
      </x:c>
      <x:c r="AB612" s="9" t="str">
        <x:v>None known</x:v>
      </x:c>
      <x:c r="AC612" s="9" t="str">
        <x:v>320x240 streamed CG (verify)</x:v>
      </x:c>
      <x:c r="AD612" s="9" t="str">
        <x:v>Moderate; strict two-hour real-time limit with no pause or save</x:v>
      </x:c>
      <x:c r="AE612" s="9" t="str">
        <x:v>Multiple endings depending on actions</x:v>
      </x:c>
      <x:c r="AF612" s="9" t="str">
        <x:v>Eno smuggled the violent version past 3DO approval by swapping master discs.</x:v>
      </x:c>
      <x:c r="AG612" s="9" t="str"/>
      <x:c r="AH612" s="9" t="str">
        <x:v>Yes (GOG and Steam, Nightdive 2016: the DOS version)</x:v>
      </x:c>
      <x:c r="AI612" s="9" t="str">
        <x:v>Easy</x:v>
      </x:c>
      <x:c r="AJ612" s="9" t="str">
        <x:v>GOG or Steam (DOSBox bundled); original discs in DOSBox</x:v>
      </x:c>
      <x:c r="AK612" s="9" t="str">
        <x:v>PC disc count unconfirmed (verify). JP PC release (verify). Wikipedia URL not confirmed by search (verify).</x:v>
      </x:c>
      <x:c r="AL612" s="10" t="n">
        <x:v>5.02</x:v>
      </x:c>
      <x:c r="AM612" s="10" t="n">
        <x:v>61.76</x:v>
      </x:c>
      <x:c r="AN612" s="10" t="n">
        <x:v>25</x:v>
      </x:c>
      <x:c r="AO612" s="9" t="str">
        <x:v>2026-10-24</x:v>
      </x:c>
      <x:c r="AP612" s="11" t="str">
        <x:f>HYPERLINK("https://www.pricecharting.com/game/pc-games/d","PriceCharting")</x:f>
        <x:v>PriceCharting</x:v>
      </x:c>
      <x:c r="AQ612" s="9"/>
      <x:c r="AR612" s="9"/>
      <x:c r="AS612" s="9"/>
      <x:c r="AT612" s="9"/>
      <x:c r="AU612" s="9"/>
      <x:c r="AV612" s="9"/>
      <x:c r="AW612" s="9"/>
      <x:c r="AX612" s="9"/>
      <x:c r="AY612" s="9"/>
      <x:c r="AZ612" s="9"/>
      <x:c r="BA612" s="11" t="str">
        <x:f>HYPERLINK("https://www.mobygames.com/search/?q=D","MobyGames")</x:f>
        <x:v>MobyGames</x:v>
      </x:c>
      <x:c r="BB612" s="9" t="str">
        <x:v>60%</x:v>
      </x:c>
      <x:c r="BC612" s="9" t="str">
        <x:v>GameRankings, 4 reviews</x:v>
      </x:c>
      <x:c r="BD612" s="9" t="str">
        <x:f>HYPERLINK("https://web.archive.org/web/20191209013427id_/https://www.gamerankings.com/pc/197028-d/","Source")</x:f>
        <x:v>Source</x:v>
      </x:c>
      <x:c r="BE612" s="11" t="str">
        <x:f>HYPERLINK("https://en.wikipedia.org/wiki/D_(video_game)","Wikipedia")</x:f>
        <x:v>Wikipedia</x:v>
      </x:c>
      <x:c r="BF612" s="11" t="str">
        <x:f>HYPERLINK("https://backloggd.com/search/games/D/","Backloggd")</x:f>
        <x:v>Backloggd</x:v>
      </x:c>
      <x:c r="BG612" s="9"/>
      <x:c r="BH612" s="9"/>
      <x:c r="BI612" s="12" t="str">
        <x:v>No</x:v>
      </x:c>
      <x:c r="BJ612" s="12" t="str"/>
      <x:c r="BK612" s="12" t="str">
        <x:v>No</x:v>
      </x:c>
      <x:c r="BL612" s="12" t="str"/>
      <x:c r="BM612" s="12" t="str"/>
      <x:c r="BN612" s="12" t="str"/>
      <x:c r="BO612" s="12" t="str"/>
      <x:c r="BP612" s="12" t="str"/>
      <x:c r="BQ612" s="12" t="str"/>
    </x:row>
    <x:row r="613">
      <x:c r="A613" s="9" t="str">
        <x:v>pc-83</x:v>
      </x:c>
      <x:c r="B613" s="9" t="str">
        <x:v>enemy-zero</x:v>
      </x:c>
      <x:c r="C613" s="9" t="str">
        <x:v>PC</x:v>
      </x:c>
      <x:c r="D613" s="9" t="str">
        <x:v>Enemy Zero</x:v>
      </x:c>
      <x:c r="E613" s="9" t="str"/>
      <x:c r="F613" s="9" t="str">
        <x:v>Warp</x:v>
      </x:c>
      <x:c r="G613" s="9" t="str">
        <x:v>Sega (NA), Warp/Sega (JP)</x:v>
      </x:c>
      <x:c r="H613" s="9" t="n">
        <x:v>1998</x:v>
      </x:c>
      <x:c r="I613" s="9" t="str">
        <x:v>Yes</x:v>
      </x:c>
      <x:c r="J613" s="9" t="str">
        <x:v>Yes</x:v>
      </x:c>
      <x:c r="K613" s="9" t="str">
        <x:v>No</x:v>
      </x:c>
      <x:c r="L613" s="9" t="str">
        <x:v>No</x:v>
      </x:c>
      <x:c r="M613" s="9" t="str">
        <x:v>Survival horror adventure</x:v>
      </x:c>
      <x:c r="N613" s="9" t="str">
        <x:v>Pre-rendered CG</x:v>
      </x:c>
      <x:c r="O613" s="9" t="n">
        <x:v>6</x:v>
      </x:c>
      <x:c r="P613" s="9" t="str">
        <x:v>Pre-rendered CG</x:v>
      </x:c>
      <x:c r="Q613" s="9" t="str">
        <x:v>Released</x:v>
      </x:c>
      <x:c r="R613" s="9" t="str">
        <x:v>Sega Saturn original (1996)</x:v>
      </x:c>
      <x:c r="S613" s="9" t="str">
        <x:v>Sega Saturn</x:v>
      </x:c>
      <x:c r="T613" s="9" t="str">
        <x:v>Laura (digital actress; voiced by Jill Cunniff in English); music by Michael Nyman; directed by Kenji Eno</x:v>
      </x:c>
      <x:c r="U613" s="9" t="n">
        <x:v>4</x:v>
      </x:c>
      <x:c r="V613" s="9" t="str">
        <x:v>Yes</x:v>
      </x:c>
      <x:c r="W613" s="9" t="str">
        <x:v>Pentium 133, 16 MB RAM, 4x CD-ROM; Win95 (verify)</x:v>
      </x:c>
      <x:c r="X613" s="9" t="str">
        <x:v>Low–Med</x:v>
      </x:c>
      <x:c r="Y613" s="9" t="str">
        <x:v>Michael Nyman score (verify whether claimed)</x:v>
      </x:c>
      <x:c r="Z613" s="9" t="str">
        <x:v>6–10 hr</x:v>
      </x:c>
      <x:c r="AA613" s="9" t="str">
        <x:v>Kenji Eno's invisible-alien horror, where you hunt monsters by sound alone between long CG movies.</x:v>
      </x:c>
      <x:c r="AB613" s="9" t="str">
        <x:v>None known</x:v>
      </x:c>
      <x:c r="AC613" s="9" t="str">
        <x:v>Unknown — verify</x:v>
      </x:c>
      <x:c r="AD613" s="9" t="str">
        <x:v>Very hard; limited saves and invisible enemies</x:v>
      </x:c>
      <x:c r="AE613" s="9" t="str">
        <x:v>One ending (verify)</x:v>
      </x:c>
      <x:c r="AF613" s="9" t="str">
        <x:v>The PC port shipped in 1998, two years after the Saturn original; Luscious Jackson's Jill Cunniff voiced Laura in English.</x:v>
      </x:c>
      <x:c r="AG613" s="9" t="str"/>
      <x:c r="AH613" s="9" t="str">
        <x:v>No</x:v>
      </x:c>
      <x:c r="AI613" s="9" t="str">
        <x:v>Expensive</x:v>
      </x:c>
      <x:c r="AJ613" s="9" t="str">
        <x:v>86Box/PCem or Windows 95/98 VM</x:v>
      </x:c>
      <x:c r="AK613" s="9" t="str">
        <x:v>Scarce in North America; loose copies sell over $100.</x:v>
      </x:c>
      <x:c r="AL613" s="10" t="n">
        <x:v>120</x:v>
      </x:c>
      <x:c r="AM613" s="10"/>
      <x:c r="AN613" s="10" t="n">
        <x:v>148.54</x:v>
      </x:c>
      <x:c r="AO613" s="9" t="str">
        <x:v>2026-10-24</x:v>
      </x:c>
      <x:c r="AP613" s="11" t="str">
        <x:f>HYPERLINK("https://www.pricecharting.com/game/pc-games/enemy-zero","PriceCharting")</x:f>
        <x:v>PriceCharting</x:v>
      </x:c>
      <x:c r="AQ613" s="9"/>
      <x:c r="AR613" s="9"/>
      <x:c r="AS613" s="9"/>
      <x:c r="AT613" s="9"/>
      <x:c r="AU613" s="9"/>
      <x:c r="AV613" s="9"/>
      <x:c r="AW613" s="9"/>
      <x:c r="AX613" s="9"/>
      <x:c r="AY613" s="9" t="str">
        <x:v>48%</x:v>
      </x:c>
      <x:c r="AZ613" s="9" t="str">
        <x:v>3.3</x:v>
      </x:c>
      <x:c r="BA613" s="11" t="str">
        <x:f>HYPERLINK("https://www.mobygames.com/game/windows/enemy-zero","MobyGames")</x:f>
        <x:v>MobyGames</x:v>
      </x:c>
      <x:c r="BB613" s="9"/>
      <x:c r="BC613" s="9"/>
      <x:c r="BD613" s="9"/>
      <x:c r="BE613" s="11" t="str">
        <x:f>HYPERLINK("https://en.wikipedia.org/wiki/Enemy_Zero","Wikipedia")</x:f>
        <x:v>Wikipedia</x:v>
      </x:c>
      <x:c r="BF613" s="11" t="str">
        <x:f>HYPERLINK("https://backloggd.com/search/games/Enemy%20Zero/","Backloggd")</x:f>
        <x:v>Backloggd</x:v>
      </x:c>
      <x:c r="BG613" s="9"/>
      <x:c r="BH613" s="9"/>
      <x:c r="BI613" s="12" t="str">
        <x:v>No</x:v>
      </x:c>
      <x:c r="BJ613" s="12" t="str"/>
      <x:c r="BK613" s="12" t="str">
        <x:v>No</x:v>
      </x:c>
      <x:c r="BL613" s="12" t="str"/>
      <x:c r="BM613" s="12" t="str"/>
      <x:c r="BN613" s="12" t="str"/>
      <x:c r="BO613" s="12" t="str"/>
      <x:c r="BP613" s="12" t="str"/>
      <x:c r="BQ613" s="12" t="str"/>
    </x:row>
    <x:row r="614">
      <x:c r="A614" s="9" t="str">
        <x:v>pc-84</x:v>
      </x:c>
      <x:c r="B614" s="9" t="str">
        <x:v>lost-eden</x:v>
      </x:c>
      <x:c r="C614" s="9" t="str">
        <x:v>PC</x:v>
      </x:c>
      <x:c r="D614" s="9" t="str">
        <x:v>Lost Eden</x:v>
      </x:c>
      <x:c r="E614" s="9" t="str"/>
      <x:c r="F614" s="9" t="str">
        <x:v>Cryo Interactive</x:v>
      </x:c>
      <x:c r="G614" s="9" t="str">
        <x:v>Virgin Interactive</x:v>
      </x:c>
      <x:c r="H614" s="9" t="n">
        <x:v>1995</x:v>
      </x:c>
      <x:c r="I614" s="9" t="str">
        <x:v>Yes</x:v>
      </x:c>
      <x:c r="J614" s="9" t="str">
        <x:v>No</x:v>
      </x:c>
      <x:c r="K614" s="9" t="str">
        <x:v>Yes</x:v>
      </x:c>
      <x:c r="L614" s="9" t="str">
        <x:v>No</x:v>
      </x:c>
      <x:c r="M614" s="9" t="str">
        <x:v>Adventure</x:v>
      </x:c>
      <x:c r="N614" s="9" t="str">
        <x:v>Pre-rendered CG</x:v>
      </x:c>
      <x:c r="O614" s="9" t="n">
        <x:v>5</x:v>
      </x:c>
      <x:c r="P614" s="9" t="str">
        <x:v>FMV adventure</x:v>
      </x:c>
      <x:c r="Q614" s="9" t="str">
        <x:v>Released</x:v>
      </x:c>
      <x:c r="R614" s="9" t="str">
        <x:v>PC original (MS-DOS, 1995)</x:v>
      </x:c>
      <x:c r="S614" s="9" t="str">
        <x:v>3DO, CD-i</x:v>
      </x:c>
      <x:c r="T614" s="9" t="str">
        <x:v>Stéphane Picq (composer)</x:v>
      </x:c>
      <x:c r="U614" s="9" t="n">
        <x:v>1</x:v>
      </x:c>
      <x:c r="V614" s="9" t="str">
        <x:v>Yes</x:v>
      </x:c>
      <x:c r="W614" s="9" t="str">
        <x:v>486DX/33, 8 MB RAM, 2x CD-ROM, VGA; DOS (verify)</x:v>
      </x:c>
      <x:c r="X614" s="9" t="str">
        <x:v>Low</x:v>
      </x:c>
      <x:c r="Y614" s="9" t="str"/>
      <x:c r="Z614" s="9" t="str">
        <x:v>5–8 hr</x:v>
      </x:c>
      <x:c r="AA614" s="9" t="str">
        <x:v>Cryo's dinosaur-and-human fable told through pre-rendered video and a Stéphane Picq score.</x:v>
      </x:c>
      <x:c r="AB614" s="9" t="str">
        <x:v>None known</x:v>
      </x:c>
      <x:c r="AC614" s="9" t="str">
        <x:v>320x200 streamed CG</x:v>
      </x:c>
      <x:c r="AD614" s="9" t="str">
        <x:v>Moderate</x:v>
      </x:c>
      <x:c r="AE614" s="9" t="str">
        <x:v>Single ending</x:v>
      </x:c>
      <x:c r="AF614" s="9" t="str">
        <x:v>Rereleased on GOG in 2017 with DOSBox.</x:v>
      </x:c>
      <x:c r="AG614" s="9" t="str"/>
      <x:c r="AH614" s="9" t="str">
        <x:v>Yes (GOG, Steam)</x:v>
      </x:c>
      <x:c r="AI614" s="9" t="str">
        <x:v>Easy</x:v>
      </x:c>
      <x:c r="AJ614" s="9" t="str">
        <x:v>GOG / Steam</x:v>
      </x:c>
      <x:c r="AK614" s="9" t="str"/>
      <x:c r="AL614" s="10" t="n">
        <x:v>4</x:v>
      </x:c>
      <x:c r="AM614" s="10" t="n">
        <x:v>12</x:v>
      </x:c>
      <x:c r="AN614" s="10" t="n">
        <x:v>28.88</x:v>
      </x:c>
      <x:c r="AO614" s="9" t="str">
        <x:v>2026-10-24</x:v>
      </x:c>
      <x:c r="AP614" s="11" t="str">
        <x:f>HYPERLINK("https://www.pricecharting.com/game/pc-games/lost-eden","PriceCharting")</x:f>
        <x:v>PriceCharting</x:v>
      </x:c>
      <x:c r="AQ614" s="9" t="n">
        <x:v>9.99</x:v>
      </x:c>
      <x:c r="AR614" s="11" t="str">
        <x:v>Steam</x:v>
      </x:c>
      <x:c r="AS614" s="9" t="str">
        <x:f>HYPERLINK("https://store.steampowered.com/app/579980/","Store")</x:f>
        <x:v>Store</x:v>
      </x:c>
      <x:c r="AT614" s="9" t="str">
        <x:v>2026-10-24</x:v>
      </x:c>
      <x:c r="AU614" s="9"/>
      <x:c r="AV614" s="9"/>
      <x:c r="AW614" s="9"/>
      <x:c r="AX614" s="9"/>
      <x:c r="AY614" s="9"/>
      <x:c r="AZ614" s="9"/>
      <x:c r="BA614" s="11" t="str">
        <x:f>HYPERLINK("https://www.mobygames.com/search/?q=Lost+Eden","MobyGames")</x:f>
        <x:v>MobyGames</x:v>
      </x:c>
      <x:c r="BB614" s="9" t="str">
        <x:v>65%</x:v>
      </x:c>
      <x:c r="BC614" s="9" t="str">
        <x:v>GameRankings, 2 reviews</x:v>
      </x:c>
      <x:c r="BD614" s="9" t="str">
        <x:f>HYPERLINK("https://web.archive.org/web/20191209013253id_/https://www.gamerankings.com/pc/565039-lost-eden/","Source")</x:f>
        <x:v>Source</x:v>
      </x:c>
      <x:c r="BE614" s="11" t="str">
        <x:f>HYPERLINK("https://en.wikipedia.org/wiki/Lost_Eden","Wikipedia")</x:f>
        <x:v>Wikipedia</x:v>
      </x:c>
      <x:c r="BF614" s="11" t="str">
        <x:f>HYPERLINK("https://backloggd.com/search/games/Lost%20Eden/","Backloggd")</x:f>
        <x:v>Backloggd</x:v>
      </x:c>
      <x:c r="BG614" s="9"/>
      <x:c r="BH614" s="9"/>
      <x:c r="BI614" s="12" t="str">
        <x:v>No</x:v>
      </x:c>
      <x:c r="BJ614" s="12" t="str"/>
      <x:c r="BK614" s="12" t="str">
        <x:v>No</x:v>
      </x:c>
      <x:c r="BL614" s="12" t="str"/>
      <x:c r="BM614" s="12" t="str"/>
      <x:c r="BN614" s="12" t="str"/>
      <x:c r="BO614" s="12" t="str"/>
      <x:c r="BP614" s="12" t="str"/>
      <x:c r="BQ614" s="12" t="str"/>
    </x:row>
    <x:row r="615">
      <x:c r="A615" s="9" t="str">
        <x:v>pc-85</x:v>
      </x:c>
      <x:c r="B615" s="9" t="str">
        <x:v>dragon-lore-the-legend-begins</x:v>
      </x:c>
      <x:c r="C615" s="9" t="str">
        <x:v>PC</x:v>
      </x:c>
      <x:c r="D615" s="9" t="str">
        <x:v>Dragon Lore: The Legend Begins</x:v>
      </x:c>
      <x:c r="E615" s="9" t="str">
        <x:v>Dragon Lore</x:v>
      </x:c>
      <x:c r="F615" s="9" t="str">
        <x:v>Cryo Interactive</x:v>
      </x:c>
      <x:c r="G615" s="9" t="str">
        <x:v>Mindscape (NA), Cryo (EU)</x:v>
      </x:c>
      <x:c r="H615" s="9" t="n">
        <x:v>1994</x:v>
      </x:c>
      <x:c r="I615" s="9" t="str">
        <x:v>Yes</x:v>
      </x:c>
      <x:c r="J615" s="9" t="str">
        <x:v>No</x:v>
      </x:c>
      <x:c r="K615" s="9" t="str">
        <x:v>Yes</x:v>
      </x:c>
      <x:c r="L615" s="9" t="str">
        <x:v>No</x:v>
      </x:c>
      <x:c r="M615" s="9" t="str">
        <x:v>Adventure / RPG</x:v>
      </x:c>
      <x:c r="N615" s="9" t="str">
        <x:v>Pre-rendered CG</x:v>
      </x:c>
      <x:c r="O615" s="9" t="n">
        <x:v>6</x:v>
      </x:c>
      <x:c r="P615" s="9" t="str">
        <x:v>FMV adventure</x:v>
      </x:c>
      <x:c r="Q615" s="9" t="str">
        <x:v>Released</x:v>
      </x:c>
      <x:c r="R615" s="9" t="str">
        <x:v>PC original (MS-DOS, 1994)</x:v>
      </x:c>
      <x:c r="S615" s="9" t="str">
        <x:v>3DO</x:v>
      </x:c>
      <x:c r="T615" s="9" t="str">
        <x:v>—</x:v>
      </x:c>
      <x:c r="U615" s="9" t="n">
        <x:v>2</x:v>
      </x:c>
      <x:c r="V615" s="9" t="str">
        <x:v>Yes</x:v>
      </x:c>
      <x:c r="W615" s="9" t="str">
        <x:v>486DX/33, 8 MB RAM, 2x CD-ROM, VGA; DOS (verify)</x:v>
      </x:c>
      <x:c r="X615" s="9" t="str">
        <x:v>Low</x:v>
      </x:c>
      <x:c r="Y615" s="9" t="str"/>
      <x:c r="Z615" s="9" t="str">
        <x:v>6–10 hr</x:v>
      </x:c>
      <x:c r="AA615" s="9" t="str">
        <x:v>A fantasy quest told almost entirely through pre-rendered video, so early it looks like a tech demo.</x:v>
      </x:c>
      <x:c r="AB615" s="9" t="str">
        <x:v>None known</x:v>
      </x:c>
      <x:c r="AC615" s="9" t="str">
        <x:v>320x200 streamed CG</x:v>
      </x:c>
      <x:c r="AD615" s="9" t="str">
        <x:v>Moderate; some dead ends</x:v>
      </x:c>
      <x:c r="AE615" s="9" t="str">
        <x:v>Single ending</x:v>
      </x:c>
      <x:c r="AF615" s="9" t="str">
        <x:v>Cryo's first fantasy adventure, followed by Dragon Lore II in 1996.</x:v>
      </x:c>
      <x:c r="AG615" s="9" t="str"/>
      <x:c r="AH615" s="9" t="str">
        <x:v>Yes (GOG)</x:v>
      </x:c>
      <x:c r="AI615" s="9" t="str">
        <x:v>Easy</x:v>
      </x:c>
      <x:c r="AJ615" s="9" t="str">
        <x:v>GOG</x:v>
      </x:c>
      <x:c r="AK615" s="9" t="str">
        <x:v>Disc count unconfirmed (verify). PriceCharting slug 'dragon-lore' resolved to the 3DO listing; PC listing not found before the fetch budget ran out.</x:v>
      </x:c>
      <x:c r="AL615" s="10"/>
      <x:c r="AM615" s="10"/>
      <x:c r="AN615" s="10"/>
      <x:c r="AO615" s="9"/>
      <x:c r="AP615" s="11" t="str">
        <x:f>HYPERLINK("https://www.pricecharting.com/search-products?q=Dragon+Lore%3A+The+Legend+Begins+pc+games&amp;type=prices","PriceCharting")</x:f>
        <x:v>PriceCharting</x:v>
      </x:c>
      <x:c r="AQ615" s="9" t="n">
        <x:v>0.59</x:v>
      </x:c>
      <x:c r="AR615" s="11" t="str">
        <x:v>GOG</x:v>
      </x:c>
      <x:c r="AS615" s="9" t="str">
        <x:f>HYPERLINK("https://www.gog.com/en/game/dragon_lore_the_legend_begins","Store")</x:f>
        <x:v>Store</x:v>
      </x:c>
      <x:c r="AT615" s="9" t="str">
        <x:v>2026-10-24</x:v>
      </x:c>
      <x:c r="AU615" s="9"/>
      <x:c r="AV615" s="9"/>
      <x:c r="AW615" s="9"/>
      <x:c r="AX615" s="9"/>
      <x:c r="AY615" s="9" t="str">
        <x:v>68%</x:v>
      </x:c>
      <x:c r="AZ615" s="9" t="str">
        <x:v>3.5</x:v>
      </x:c>
      <x:c r="BA615" s="11" t="str">
        <x:f>HYPERLINK("https://www.mobygames.com/game/dos/dragon-lore-the-legend-begins","MobyGames")</x:f>
        <x:v>MobyGames</x:v>
      </x:c>
      <x:c r="BB615" s="9"/>
      <x:c r="BC615" s="9"/>
      <x:c r="BD615" s="9"/>
      <x:c r="BE615" s="11" t="str">
        <x:f>HYPERLINK("https://en.wikipedia.org/wiki/Dragon_Lore","Wikipedia")</x:f>
        <x:v>Wikipedia</x:v>
      </x:c>
      <x:c r="BF615" s="11" t="str">
        <x:f>HYPERLINK("https://backloggd.com/search/games/Dragon%20Lore%3A%20The%20Legend%20Begins/","Backloggd")</x:f>
        <x:v>Backloggd</x:v>
      </x:c>
      <x:c r="BG615" s="9"/>
      <x:c r="BH615" s="9"/>
      <x:c r="BI615" s="12" t="str">
        <x:v>No</x:v>
      </x:c>
      <x:c r="BJ615" s="12" t="str"/>
      <x:c r="BK615" s="12" t="str">
        <x:v>No</x:v>
      </x:c>
      <x:c r="BL615" s="12" t="str"/>
      <x:c r="BM615" s="12" t="str"/>
      <x:c r="BN615" s="12" t="str"/>
      <x:c r="BO615" s="12" t="str"/>
      <x:c r="BP615" s="12" t="str"/>
      <x:c r="BQ615" s="12" t="str"/>
    </x:row>
    <x:row r="616">
      <x:c r="A616" s="9" t="str">
        <x:v>pc-86</x:v>
      </x:c>
      <x:c r="B616" s="9" t="str">
        <x:v>dragon-lore-ii-the-heart-of-the-dragon-man</x:v>
      </x:c>
      <x:c r="C616" s="9" t="str">
        <x:v>PC</x:v>
      </x:c>
      <x:c r="D616" s="9" t="str">
        <x:v>Dragon Lore II: The Heart of the Dragon Man</x:v>
      </x:c>
      <x:c r="E616" s="9" t="str"/>
      <x:c r="F616" s="9" t="str">
        <x:v>Cryo Interactive</x:v>
      </x:c>
      <x:c r="G616" s="9" t="str">
        <x:v>Cryo Interactive</x:v>
      </x:c>
      <x:c r="H616" s="9" t="n">
        <x:v>1996</x:v>
      </x:c>
      <x:c r="I616" s="9" t="str">
        <x:v>Yes</x:v>
      </x:c>
      <x:c r="J616" s="9" t="str">
        <x:v>No</x:v>
      </x:c>
      <x:c r="K616" s="9" t="str">
        <x:v>Yes</x:v>
      </x:c>
      <x:c r="L616" s="9" t="str">
        <x:v>No</x:v>
      </x:c>
      <x:c r="M616" s="9" t="str">
        <x:v>Adventure / RPG</x:v>
      </x:c>
      <x:c r="N616" s="9" t="str">
        <x:v>Pre-rendered CG</x:v>
      </x:c>
      <x:c r="O616" s="9" t="n">
        <x:v>6</x:v>
      </x:c>
      <x:c r="P616" s="9" t="str">
        <x:v>FMV adventure</x:v>
      </x:c>
      <x:c r="Q616" s="9" t="str">
        <x:v>Released</x:v>
      </x:c>
      <x:c r="R616" s="9" t="str">
        <x:v>PC original (MS-DOS, 1996)</x:v>
      </x:c>
      <x:c r="S616" s="9" t="str">
        <x:v>None</x:v>
      </x:c>
      <x:c r="T616" s="9" t="str">
        <x:v>Unknown — verify</x:v>
      </x:c>
      <x:c r="U616" s="9" t="n">
        <x:v>3</x:v>
      </x:c>
      <x:c r="V616" s="9" t="str">
        <x:v>Yes</x:v>
      </x:c>
      <x:c r="W616" s="9" t="str">
        <x:v>486DX2/66, 8 MB RAM, 2x CD-ROM, SVGA; DOS (verify)</x:v>
      </x:c>
      <x:c r="X616" s="9" t="str">
        <x:v>Low</x:v>
      </x:c>
      <x:c r="Y616" s="9" t="str"/>
      <x:c r="Z616" s="9" t="str">
        <x:v>6–10 hr</x:v>
      </x:c>
      <x:c r="AA616" s="9" t="str">
        <x:v>Cryo's sequel moves to a freer 3D view but still streams pre-rendered video for everything.</x:v>
      </x:c>
      <x:c r="AB616" s="9" t="str">
        <x:v>None known</x:v>
      </x:c>
      <x:c r="AC616" s="9" t="str">
        <x:v>Unknown — verify</x:v>
      </x:c>
      <x:c r="AD616" s="9" t="str">
        <x:v>Moderate</x:v>
      </x:c>
      <x:c r="AE616" s="9" t="str">
        <x:v>Unknown — verify</x:v>
      </x:c>
      <x:c r="AF616" s="9" t="str">
        <x:v>The Cutting Room Floor documents unused content left on the discs.</x:v>
      </x:c>
      <x:c r="AG616" s="9" t="str"/>
      <x:c r="AH616" s="9" t="str">
        <x:v>No</x:v>
      </x:c>
      <x:c r="AI616" s="9" t="str">
        <x:v>Easy</x:v>
      </x:c>
      <x:c r="AJ616" s="9" t="str">
        <x:v>Original discs in DOSBox</x:v>
      </x:c>
      <x:c r="AK616" s="9" t="str">
        <x:v>On GOG's dreamlist, so not on GOG. Disc count unconfirmed (verify). Price not fetched (budget ran out).</x:v>
      </x:c>
      <x:c r="AL616" s="10"/>
      <x:c r="AM616" s="10" t="n">
        <x:v>35</x:v>
      </x:c>
      <x:c r="AN616" s="10" t="n">
        <x:v>65</x:v>
      </x:c>
      <x:c r="AO616" s="9" t="str">
        <x:v>2026-10-24</x:v>
      </x:c>
      <x:c r="AP616" s="11" t="str">
        <x:f>HYPERLINK("https://www.pricecharting.com/game/pc-games/dragon-lore-ii-the-heart-of-the-dragon-man","PriceCharting")</x:f>
        <x:v>PriceCharting</x:v>
      </x:c>
      <x:c r="AQ616" s="9"/>
      <x:c r="AR616" s="9"/>
      <x:c r="AS616" s="9"/>
      <x:c r="AT616" s="9"/>
      <x:c r="AU616" s="9"/>
      <x:c r="AV616" s="9"/>
      <x:c r="AW616" s="9"/>
      <x:c r="AX616" s="9"/>
      <x:c r="AY616" s="9" t="str">
        <x:v>55%</x:v>
      </x:c>
      <x:c r="AZ616" s="9" t="str">
        <x:v>3.4</x:v>
      </x:c>
      <x:c r="BA616" s="11" t="str">
        <x:f>HYPERLINK("https://www.mobygames.com/game/dos/dragon-lore-ii-the-heart-of-the-dragon-man","MobyGames")</x:f>
        <x:v>MobyGames</x:v>
      </x:c>
      <x:c r="BB616" s="9"/>
      <x:c r="BC616" s="9"/>
      <x:c r="BD616" s="9"/>
      <x:c r="BE616" s="11" t="str">
        <x:f>HYPERLINK("https://en.wikipedia.org/wiki/Dragon_Lore_II:_The_Heart_of_the_Dragon_Man","Wikipedia")</x:f>
        <x:v>Wikipedia</x:v>
      </x:c>
      <x:c r="BF616" s="11" t="str">
        <x:f>HYPERLINK("https://backloggd.com/search/games/Dragon%20Lore%20II%3A%20The%20Heart%20of%20the%20Dragon%20Man/","Backloggd")</x:f>
        <x:v>Backloggd</x:v>
      </x:c>
      <x:c r="BG616" s="9"/>
      <x:c r="BH616" s="9"/>
      <x:c r="BI616" s="12" t="str">
        <x:v>No</x:v>
      </x:c>
      <x:c r="BJ616" s="12" t="str"/>
      <x:c r="BK616" s="12" t="str">
        <x:v>No</x:v>
      </x:c>
      <x:c r="BL616" s="12" t="str"/>
      <x:c r="BM616" s="12" t="str"/>
      <x:c r="BN616" s="12" t="str"/>
      <x:c r="BO616" s="12" t="str"/>
      <x:c r="BP616" s="12" t="str"/>
      <x:c r="BQ616" s="12" t="str"/>
    </x:row>
    <x:row r="617">
      <x:c r="A617" s="9" t="str">
        <x:v>pc-87</x:v>
      </x:c>
      <x:c r="B617" s="9" t="str">
        <x:v>hell-a-cyberpunk-thriller</x:v>
      </x:c>
      <x:c r="C617" s="9" t="str">
        <x:v>PC</x:v>
      </x:c>
      <x:c r="D617" s="9" t="str">
        <x:v>Hell: A Cyberpunk Thriller</x:v>
      </x:c>
      <x:c r="E617" s="9" t="str"/>
      <x:c r="F617" s="9" t="str">
        <x:v>Take-Two Interactive</x:v>
      </x:c>
      <x:c r="G617" s="9" t="str">
        <x:v>GameTek</x:v>
      </x:c>
      <x:c r="H617" s="9" t="n">
        <x:v>1994</x:v>
      </x:c>
      <x:c r="I617" s="9" t="str">
        <x:v>Yes</x:v>
      </x:c>
      <x:c r="J617" s="9" t="str">
        <x:v>Yes</x:v>
      </x:c>
      <x:c r="K617" s="9" t="str">
        <x:v>Yes</x:v>
      </x:c>
      <x:c r="L617" s="9" t="str">
        <x:v>No</x:v>
      </x:c>
      <x:c r="M617" s="9" t="str">
        <x:v>Adventure</x:v>
      </x:c>
      <x:c r="N617" s="9" t="str">
        <x:v>Live-action + CG</x:v>
      </x:c>
      <x:c r="O617" s="9" t="n">
        <x:v>6</x:v>
      </x:c>
      <x:c r="P617" s="9" t="str">
        <x:v>FMV adventure</x:v>
      </x:c>
      <x:c r="Q617" s="9" t="str">
        <x:v>Released</x:v>
      </x:c>
      <x:c r="R617" s="9" t="str">
        <x:v>PC original (MS-DOS, 1994)</x:v>
      </x:c>
      <x:c r="S617" s="9" t="str">
        <x:v>3DO, Mac (JP), Windows (JP)</x:v>
      </x:c>
      <x:c r="T617" s="9" t="str">
        <x:v>Dennis Hopper, Grace Jones, Stephanie Seymour, Geoffrey Holder</x:v>
      </x:c>
      <x:c r="U617" s="9" t="n">
        <x:v>3</x:v>
      </x:c>
      <x:c r="V617" s="9" t="str">
        <x:v>Yes</x:v>
      </x:c>
      <x:c r="W617" s="9" t="str">
        <x:v>486DX/33, 8 MB RAM, 2x CD-ROM, SVGA; DOS (verify)</x:v>
      </x:c>
      <x:c r="X617" s="9" t="str">
        <x:v>Low</x:v>
      </x:c>
      <x:c r="Y617" s="9" t="str"/>
      <x:c r="Z617" s="9" t="str">
        <x:v>6–10 hr</x:v>
      </x:c>
      <x:c r="AA617" s="9" t="str">
        <x:v>Dennis Hopper and Grace Jones as CG demons in a theocratic 2095 Washington.</x:v>
      </x:c>
      <x:c r="AB617" s="9" t="str">
        <x:v>None known</x:v>
      </x:c>
      <x:c r="AC617" s="9" t="str">
        <x:v>SVGA rendered scenes (verify)</x:v>
      </x:c>
      <x:c r="AD617" s="9" t="str">
        <x:v>Hard; pixel-hunting cursor and script bugs</x:v>
      </x:c>
      <x:c r="AE617" s="9" t="str">
        <x:v>Single ending</x:v>
      </x:c>
      <x:c r="AF617" s="9" t="str">
        <x:v>Sold 300,000 units in six months, yet CGW named it the 12th-worst computer game ever in 1996.</x:v>
      </x:c>
      <x:c r="AG617" s="9" t="str"/>
      <x:c r="AH617" s="9" t="str">
        <x:v>No</x:v>
      </x:c>
      <x:c r="AI617" s="9" t="str">
        <x:v>Easy</x:v>
      </x:c>
      <x:c r="AJ617" s="9" t="str">
        <x:v>Original discs in DOSBox</x:v>
      </x:c>
      <x:c r="AK617" s="9" t="str">
        <x:v>On GOG's dreamlist, so not on GOG. Disc count unconfirmed (verify). Price not fetched (budget ran out).</x:v>
      </x:c>
      <x:c r="AL617" s="10" t="n">
        <x:v>8.99</x:v>
      </x:c>
      <x:c r="AM617" s="10" t="n">
        <x:v>20</x:v>
      </x:c>
      <x:c r="AN617" s="10" t="n">
        <x:v>24.91</x:v>
      </x:c>
      <x:c r="AO617" s="9" t="str">
        <x:v>2026-10-24</x:v>
      </x:c>
      <x:c r="AP617" s="11" t="str">
        <x:f>HYPERLINK("https://www.pricecharting.com/game/pc-games/hell-a-cyberpunk-thriller","PriceCharting")</x:f>
        <x:v>PriceCharting</x:v>
      </x:c>
      <x:c r="AQ617" s="9"/>
      <x:c r="AR617" s="9"/>
      <x:c r="AS617" s="9"/>
      <x:c r="AT617" s="9"/>
      <x:c r="AU617" s="9"/>
      <x:c r="AV617" s="9"/>
      <x:c r="AW617" s="9"/>
      <x:c r="AX617" s="9"/>
      <x:c r="AY617" s="9" t="str">
        <x:v>69%</x:v>
      </x:c>
      <x:c r="AZ617" s="9" t="str">
        <x:v>3.3</x:v>
      </x:c>
      <x:c r="BA617" s="11" t="str">
        <x:f>HYPERLINK("https://www.mobygames.com/game/dos/hell-a-cyberpunk-thriller","MobyGames")</x:f>
        <x:v>MobyGames</x:v>
      </x:c>
      <x:c r="BB617" s="9"/>
      <x:c r="BC617" s="9"/>
      <x:c r="BD617" s="9"/>
      <x:c r="BE617" s="11" t="str">
        <x:f>HYPERLINK("https://en.wikipedia.org/wiki/Hell:_A_Cyberpunk_Thriller","Wikipedia")</x:f>
        <x:v>Wikipedia</x:v>
      </x:c>
      <x:c r="BF617" s="11" t="str">
        <x:f>HYPERLINK("https://backloggd.com/search/games/Hell%3A%20A%20Cyberpunk%20Thriller/","Backloggd")</x:f>
        <x:v>Backloggd</x:v>
      </x:c>
      <x:c r="BG617" s="9"/>
      <x:c r="BH617" s="9"/>
      <x:c r="BI617" s="12" t="str">
        <x:v>No</x:v>
      </x:c>
      <x:c r="BJ617" s="12" t="str"/>
      <x:c r="BK617" s="12" t="str">
        <x:v>No</x:v>
      </x:c>
      <x:c r="BL617" s="12" t="str"/>
      <x:c r="BM617" s="12" t="str"/>
      <x:c r="BN617" s="12" t="str"/>
      <x:c r="BO617" s="12" t="str"/>
      <x:c r="BP617" s="12" t="str"/>
      <x:c r="BQ617" s="12" t="str"/>
    </x:row>
    <x:row r="618">
      <x:c r="A618" s="9" t="str">
        <x:v>pc-88</x:v>
      </x:c>
      <x:c r="B618" s="9" t="str">
        <x:v>burn-cycle</x:v>
      </x:c>
      <x:c r="C618" s="9" t="str">
        <x:v>PC</x:v>
      </x:c>
      <x:c r="D618" s="9" t="str">
        <x:v>Burn:Cycle</x:v>
      </x:c>
      <x:c r="E618" s="9" t="str">
        <x:v>Burn Cycle</x:v>
      </x:c>
      <x:c r="F618" s="9" t="str">
        <x:v>TripMedia</x:v>
      </x:c>
      <x:c r="G618" s="9" t="str">
        <x:v>Philips Media</x:v>
      </x:c>
      <x:c r="H618" s="9" t="n">
        <x:v>1995</x:v>
      </x:c>
      <x:c r="I618" s="9" t="str">
        <x:v>Yes</x:v>
      </x:c>
      <x:c r="J618" s="9" t="str">
        <x:v>No</x:v>
      </x:c>
      <x:c r="K618" s="9" t="str">
        <x:v>Yes</x:v>
      </x:c>
      <x:c r="L618" s="9" t="str">
        <x:v>No</x:v>
      </x:c>
      <x:c r="M618" s="9" t="str">
        <x:v>FMV adventure</x:v>
      </x:c>
      <x:c r="N618" s="9" t="str">
        <x:v>Live-action + CG</x:v>
      </x:c>
      <x:c r="O618" s="9" t="n">
        <x:v>7</x:v>
      </x:c>
      <x:c r="P618" s="9" t="str">
        <x:v>FMV adventure</x:v>
      </x:c>
      <x:c r="Q618" s="9" t="str">
        <x:v>Released</x:v>
      </x:c>
      <x:c r="R618" s="9" t="str">
        <x:v>CD-i original (1994)</x:v>
      </x:c>
      <x:c r="S618" s="9" t="str">
        <x:v>CD-i, Mac</x:v>
      </x:c>
      <x:c r="T618" s="9" t="str">
        <x:v>Aaron Swartz (Sol Cutter), Viva Duce (Kris), Abigail Canton (Gala), Tanya Pohlkotte (female Cutter), Indra Sinha (the Golden Buddha)</x:v>
      </x:c>
      <x:c r="U618" s="9" t="n">
        <x:v>1</x:v>
      </x:c>
      <x:c r="V618" s="9" t="str">
        <x:v>Yes</x:v>
      </x:c>
      <x:c r="W618" s="9" t="str">
        <x:v>486DX2/66, 8 MB RAM, 2x CD-ROM, SVGA; Win 3.1/95 (verify)</x:v>
      </x:c>
      <x:c r="X618" s="9" t="str">
        <x:v>Low–Med</x:v>
      </x:c>
      <x:c r="Y618" s="9" t="str">
        <x:v>Simon Boswell score, later commercially released</x:v>
      </x:c>
      <x:c r="Z618" s="9" t="str">
        <x:v>2–4 hr</x:v>
      </x:c>
      <x:c r="AA618" s="9" t="str">
        <x:v>The CD-i's cyberpunk flagship on PC: a two-hour countdown with a virus in your head.</x:v>
      </x:c>
      <x:c r="AB618" s="9" t="str">
        <x:v>None known</x:v>
      </x:c>
      <x:c r="AC618" s="9" t="str">
        <x:v>Unknown — verify</x:v>
      </x:c>
      <x:c r="AD618" s="9" t="str">
        <x:v>Moderate; real-time countdown</x:v>
      </x:c>
      <x:c r="AE618" s="9" t="str">
        <x:v>Single main ending; failure if the countdown runs out (verify)</x:v>
      </x:c>
      <x:c r="AF618" s="9" t="str">
        <x:v>Simon Boswell's score was remastered and released in 2017.</x:v>
      </x:c>
      <x:c r="AG618" s="9" t="str"/>
      <x:c r="AH618" s="9" t="str">
        <x:v>No</x:v>
      </x:c>
      <x:c r="AI618" s="9" t="str">
        <x:v>Easy</x:v>
      </x:c>
      <x:c r="AJ618" s="9" t="str">
        <x:v>86Box/PCem for Windows 3.1/95-era titles</x:v>
      </x:c>
      <x:c r="AK618" s="9" t="str">
        <x:v>Price not fetched (budget ran out).</x:v>
      </x:c>
      <x:c r="AL618" s="10" t="n">
        <x:v>9.95</x:v>
      </x:c>
      <x:c r="AM618" s="10" t="n">
        <x:v>35.99</x:v>
      </x:c>
      <x:c r="AN618" s="10" t="n">
        <x:v>78.47</x:v>
      </x:c>
      <x:c r="AO618" s="9" t="str">
        <x:v>2026-10-24</x:v>
      </x:c>
      <x:c r="AP618" s="11" t="str">
        <x:f>HYPERLINK("https://www.pricecharting.com/game/pc-games/burn-cycle","PriceCharting")</x:f>
        <x:v>PriceCharting</x:v>
      </x:c>
      <x:c r="AQ618" s="9"/>
      <x:c r="AR618" s="9"/>
      <x:c r="AS618" s="9"/>
      <x:c r="AT618" s="9"/>
      <x:c r="AU618" s="9"/>
      <x:c r="AV618" s="9"/>
      <x:c r="AW618" s="9"/>
      <x:c r="AX618" s="9"/>
      <x:c r="AY618" s="9"/>
      <x:c r="AZ618" s="9" t="str">
        <x:v>4.2</x:v>
      </x:c>
      <x:c r="BA618" s="11" t="str">
        <x:f>HYPERLINK("https://www.mobygames.com/game/dos/burn-cycle","MobyGames")</x:f>
        <x:v>MobyGames</x:v>
      </x:c>
      <x:c r="BB618" s="9" t="str">
        <x:v>71%</x:v>
      </x:c>
      <x:c r="BC618" s="9" t="str">
        <x:v>1 review tagged PC on Wikipedia (PCGUK)</x:v>
      </x:c>
      <x:c r="BD618" s="9" t="str">
        <x:f>HYPERLINK("https://en.wikipedia.org/wiki/Burn_Cycle","Source")</x:f>
        <x:v>Source</x:v>
      </x:c>
      <x:c r="BE618" s="11" t="str">
        <x:f>HYPERLINK("https://en.wikipedia.org/wiki/Burn_Cycle","Wikipedia")</x:f>
        <x:v>Wikipedia</x:v>
      </x:c>
      <x:c r="BF618" s="11" t="str">
        <x:f>HYPERLINK("https://backloggd.com/search/games/Burn%3ACycle/","Backloggd")</x:f>
        <x:v>Backloggd</x:v>
      </x:c>
      <x:c r="BG618" s="9"/>
      <x:c r="BH618" s="9"/>
      <x:c r="BI618" s="12" t="str">
        <x:v>No</x:v>
      </x:c>
      <x:c r="BJ618" s="12" t="str"/>
      <x:c r="BK618" s="12" t="str">
        <x:v>No</x:v>
      </x:c>
      <x:c r="BL618" s="12" t="str"/>
      <x:c r="BM618" s="12" t="str"/>
      <x:c r="BN618" s="12" t="str"/>
      <x:c r="BO618" s="12" t="str"/>
      <x:c r="BP618" s="12" t="str"/>
      <x:c r="BQ618" s="12" t="str"/>
    </x:row>
    <x:row r="619">
      <x:c r="A619" s="9" t="str">
        <x:v>pc-89</x:v>
      </x:c>
      <x:c r="B619" s="9" t="str">
        <x:v>quantum-gate</x:v>
      </x:c>
      <x:c r="C619" s="9" t="str">
        <x:v>PC</x:v>
      </x:c>
      <x:c r="D619" s="9" t="str">
        <x:v>Quantum Gate</x:v>
      </x:c>
      <x:c r="E619" s="9" t="str"/>
      <x:c r="F619" s="9" t="str">
        <x:v>Hyperbole Studios</x:v>
      </x:c>
      <x:c r="G619" s="9" t="str">
        <x:v>Media Vision Technology</x:v>
      </x:c>
      <x:c r="H619" s="9" t="n">
        <x:v>1993</x:v>
      </x:c>
      <x:c r="I619" s="9" t="str">
        <x:v>Yes</x:v>
      </x:c>
      <x:c r="J619" s="9" t="str">
        <x:v>No</x:v>
      </x:c>
      <x:c r="K619" s="9" t="str">
        <x:v>No</x:v>
      </x:c>
      <x:c r="L619" s="9" t="str">
        <x:v>No</x:v>
      </x:c>
      <x:c r="M619" s="9" t="str">
        <x:v>Interactive movie</x:v>
      </x:c>
      <x:c r="N619" s="9" t="str">
        <x:v>Live-action + CG</x:v>
      </x:c>
      <x:c r="O619" s="9" t="n">
        <x:v>9</x:v>
      </x:c>
      <x:c r="P619" s="9" t="str">
        <x:v>Interactive movie</x:v>
      </x:c>
      <x:c r="Q619" s="9" t="str">
        <x:v>Released</x:v>
      </x:c>
      <x:c r="R619" s="9" t="str">
        <x:v>PC original (1993)</x:v>
      </x:c>
      <x:c r="S619" s="9" t="str">
        <x:v>Mac</x:v>
      </x:c>
      <x:c r="T619" s="9" t="str">
        <x:v>Unknown — verify</x:v>
      </x:c>
      <x:c r="U619" s="9" t="n">
        <x:v>1</x:v>
      </x:c>
      <x:c r="V619" s="9" t="str">
        <x:v>Yes</x:v>
      </x:c>
      <x:c r="W619" s="9" t="str">
        <x:v>386/33, 4 MB RAM, 1x CD-ROM, SVGA; Windows 3.1 (verify)</x:v>
      </x:c>
      <x:c r="X619" s="9" t="str">
        <x:v>Low</x:v>
      </x:c>
      <x:c r="Y619" s="9" t="str"/>
      <x:c r="Z619" s="9" t="str">
        <x:v>1–2 hr</x:v>
      </x:c>
      <x:c r="AA619" s="9" t="str">
        <x:v>A 1993 live-action sci-fi film you click through, from the studio that later made The X-Files Game.</x:v>
      </x:c>
      <x:c r="AB619" s="9" t="str">
        <x:v>None known</x:v>
      </x:c>
      <x:c r="AC619" s="9" t="str">
        <x:v>Small-window live-action video (verify)</x:v>
      </x:c>
      <x:c r="AD619" s="9" t="str">
        <x:v>Easy</x:v>
      </x:c>
      <x:c r="AE619" s="9" t="str">
        <x:v>Unknown — verify</x:v>
      </x:c>
      <x:c r="AF619" s="9" t="str">
        <x:v>Hyperbole Studios went on to make The X-Files Game and Quantum Gate II.</x:v>
      </x:c>
      <x:c r="AG619" s="9" t="str"/>
      <x:c r="AH619" s="9" t="str">
        <x:v>No</x:v>
      </x:c>
      <x:c r="AI619" s="9" t="str">
        <x:v>Easy</x:v>
      </x:c>
      <x:c r="AJ619" s="9" t="str">
        <x:v>86Box/PCem for Windows 3.1/95-era titles</x:v>
      </x:c>
      <x:c r="AK619" s="9" t="str">
        <x:v>Price not fetched (budget ran out).</x:v>
      </x:c>
      <x:c r="AL619" s="10" t="n">
        <x:v>7.79</x:v>
      </x:c>
      <x:c r="AM619" s="10" t="n">
        <x:v>9.98</x:v>
      </x:c>
      <x:c r="AN619" s="10" t="n">
        <x:v>12.85</x:v>
      </x:c>
      <x:c r="AO619" s="9" t="str">
        <x:v>2026-10-24</x:v>
      </x:c>
      <x:c r="AP619" s="11" t="str">
        <x:f>HYPERLINK("https://www.pricecharting.com/game/pc-games/quantum-gate","PriceCharting")</x:f>
        <x:v>PriceCharting</x:v>
      </x:c>
      <x:c r="AQ619" s="9"/>
      <x:c r="AR619" s="9"/>
      <x:c r="AS619" s="9"/>
      <x:c r="AT619" s="9"/>
      <x:c r="AU619" s="9"/>
      <x:c r="AV619" s="9"/>
      <x:c r="AW619" s="9"/>
      <x:c r="AX619" s="9"/>
      <x:c r="AY619" s="9"/>
      <x:c r="AZ619" s="9"/>
      <x:c r="BA619" s="11" t="str">
        <x:f>HYPERLINK("https://www.mobygames.com/search/?q=Quantum+Gate","MobyGames")</x:f>
        <x:v>MobyGames</x:v>
      </x:c>
      <x:c r="BB619" s="9"/>
      <x:c r="BC619" s="9"/>
      <x:c r="BD619" s="9"/>
      <x:c r="BE619" s="11" t="str">
        <x:f>HYPERLINK("https://en.wikipedia.org/wiki/Quantum_Gate_(video_game)","Wikipedia")</x:f>
        <x:v>Wikipedia</x:v>
      </x:c>
      <x:c r="BF619" s="11" t="str">
        <x:f>HYPERLINK("https://backloggd.com/search/games/Quantum%20Gate/","Backloggd")</x:f>
        <x:v>Backloggd</x:v>
      </x:c>
      <x:c r="BG619" s="9"/>
      <x:c r="BH619" s="9"/>
      <x:c r="BI619" s="12" t="str">
        <x:v>No</x:v>
      </x:c>
      <x:c r="BJ619" s="12" t="str"/>
      <x:c r="BK619" s="12" t="str">
        <x:v>No</x:v>
      </x:c>
      <x:c r="BL619" s="12" t="str"/>
      <x:c r="BM619" s="12" t="str"/>
      <x:c r="BN619" s="12" t="str"/>
      <x:c r="BO619" s="12" t="str"/>
      <x:c r="BP619" s="12" t="str"/>
      <x:c r="BQ619" s="12" t="str"/>
    </x:row>
    <x:row r="620">
      <x:c r="A620" s="9" t="str">
        <x:v>pc-90</x:v>
      </x:c>
      <x:c r="B620" s="9" t="str">
        <x:v>the-vortex-quantum-gate-ii</x:v>
      </x:c>
      <x:c r="C620" s="9" t="str">
        <x:v>PC</x:v>
      </x:c>
      <x:c r="D620" s="9" t="str">
        <x:v>The Vortex: Quantum Gate II</x:v>
      </x:c>
      <x:c r="E620" s="9" t="str"/>
      <x:c r="F620" s="9" t="str">
        <x:v>Hyperbole Studios</x:v>
      </x:c>
      <x:c r="G620" s="9" t="str">
        <x:v>Warner Interactive (verify)</x:v>
      </x:c>
      <x:c r="H620" s="9" t="n">
        <x:v>1994</x:v>
      </x:c>
      <x:c r="I620" s="9" t="str">
        <x:v>Yes</x:v>
      </x:c>
      <x:c r="J620" s="9" t="str">
        <x:v>No</x:v>
      </x:c>
      <x:c r="K620" s="9" t="str">
        <x:v>No</x:v>
      </x:c>
      <x:c r="L620" s="9" t="str">
        <x:v>No</x:v>
      </x:c>
      <x:c r="M620" s="9" t="str">
        <x:v>Interactive movie</x:v>
      </x:c>
      <x:c r="N620" s="9" t="str">
        <x:v>Live-action + CG</x:v>
      </x:c>
      <x:c r="O620" s="9" t="n">
        <x:v>9</x:v>
      </x:c>
      <x:c r="P620" s="9" t="str">
        <x:v>Interactive movie</x:v>
      </x:c>
      <x:c r="Q620" s="9" t="str">
        <x:v>Released</x:v>
      </x:c>
      <x:c r="R620" s="9" t="str">
        <x:v>PC original (1994); sequel to Quantum Gate</x:v>
      </x:c>
      <x:c r="S620" s="9" t="str">
        <x:v>Mac</x:v>
      </x:c>
      <x:c r="T620" s="9" t="str">
        <x:v>Unknown — verify</x:v>
      </x:c>
      <x:c r="U620" s="9" t="n">
        <x:v>2</x:v>
      </x:c>
      <x:c r="V620" s="9" t="str">
        <x:v>Yes</x:v>
      </x:c>
      <x:c r="W620" s="9" t="str">
        <x:v>486, 8 MB RAM, 2x CD-ROM, SVGA; Windows 3.1 (verify)</x:v>
      </x:c>
      <x:c r="X620" s="9" t="str">
        <x:v>Low</x:v>
      </x:c>
      <x:c r="Y620" s="9" t="str"/>
      <x:c r="Z620" s="9" t="str">
        <x:v>2–3 hr</x:v>
      </x:c>
      <x:c r="AA620" s="9" t="str">
        <x:v>Hyperbole's live-action sequel, sold as a 'movie for the 21st century' where the viewer drives.</x:v>
      </x:c>
      <x:c r="AB620" s="9" t="str">
        <x:v>None known</x:v>
      </x:c>
      <x:c r="AC620" s="9" t="str">
        <x:v>Unknown — verify</x:v>
      </x:c>
      <x:c r="AD620" s="9" t="str">
        <x:v>Easy</x:v>
      </x:c>
      <x:c r="AE620" s="9" t="str">
        <x:v>Unknown — verify</x:v>
      </x:c>
      <x:c r="AF620" s="9" t="str">
        <x:v>The Christian Science Monitor covered it in July 1994 as an example of interactive film.</x:v>
      </x:c>
      <x:c r="AG620" s="9" t="str"/>
      <x:c r="AH620" s="9" t="str">
        <x:v>No</x:v>
      </x:c>
      <x:c r="AI620" s="9" t="str">
        <x:v>Easy</x:v>
      </x:c>
      <x:c r="AJ620" s="9" t="str">
        <x:v>86Box/PCem for Windows 3.1/95-era titles</x:v>
      </x:c>
      <x:c r="AK620" s="9" t="str">
        <x:v>Disc count unconfirmed (verify). Covered in the Quantum Gate Wikipedia article. Price not fetched (budget ran out).</x:v>
      </x:c>
      <x:c r="AL620" s="10"/>
      <x:c r="AM620" s="10"/>
      <x:c r="AN620" s="10"/>
      <x:c r="AO620" s="9"/>
      <x:c r="AP620" s="11" t="str">
        <x:f>HYPERLINK("https://www.pricecharting.com/search-products?q=The+Vortex%3A+Quantum+Gate+II+pc+games&amp;type=prices","PriceCharting")</x:f>
        <x:v>PriceCharting</x:v>
      </x:c>
      <x:c r="AQ620" s="9"/>
      <x:c r="AR620" s="9"/>
      <x:c r="AS620" s="9"/>
      <x:c r="AT620" s="9"/>
      <x:c r="AU620" s="9" t="str">
        <x:v>No market</x:v>
      </x:c>
      <x:c r="AV620" s="9" t="str">
        <x:v>Not sold on Steam or GOG (checked 2026-10-25) and no PriceCharting listing.</x:v>
      </x:c>
      <x:c r="AW620" s="9"/>
      <x:c r="AX620" s="9"/>
      <x:c r="AY620" s="9"/>
      <x:c r="AZ620" s="9"/>
      <x:c r="BA620" s="11" t="str">
        <x:f>HYPERLINK("https://www.mobygames.com/game/4423/","MobyGames")</x:f>
        <x:v>MobyGames</x:v>
      </x:c>
      <x:c r="BB620" s="9" t="str">
        <x:v>40%</x:v>
      </x:c>
      <x:c r="BC620" s="9" t="str">
        <x:v>1 review from a PC-only magazine on Wikipedia (CGW)</x:v>
      </x:c>
      <x:c r="BD620" s="9" t="str">
        <x:f>HYPERLINK("https://en.wikipedia.org/wiki/Quantum_Gate_%28video_game%29","Source")</x:f>
        <x:v>Source</x:v>
      </x:c>
      <x:c r="BE620" s="11" t="str">
        <x:f>HYPERLINK("https://en.wikipedia.org/wiki/Quantum_Gate_(video_game)","Wikipedia")</x:f>
        <x:v>Wikipedia</x:v>
      </x:c>
      <x:c r="BF620" s="11" t="str">
        <x:f>HYPERLINK("https://backloggd.com/search/games/The%20Vortex%3A%20Quantum%20Gate%20II/","Backloggd")</x:f>
        <x:v>Backloggd</x:v>
      </x:c>
      <x:c r="BG620" s="9"/>
      <x:c r="BH620" s="9"/>
      <x:c r="BI620" s="12" t="str">
        <x:v>No</x:v>
      </x:c>
      <x:c r="BJ620" s="12" t="str"/>
      <x:c r="BK620" s="12" t="str">
        <x:v>No</x:v>
      </x:c>
      <x:c r="BL620" s="12" t="str"/>
      <x:c r="BM620" s="12" t="str"/>
      <x:c r="BN620" s="12" t="str"/>
      <x:c r="BO620" s="12" t="str"/>
      <x:c r="BP620" s="12" t="str"/>
      <x:c r="BQ620" s="12" t="str"/>
    </x:row>
    <x:row r="621">
      <x:c r="A621" s="9" t="str">
        <x:v>pc-91</x:v>
      </x:c>
      <x:c r="B621" s="9" t="str">
        <x:v>critical-path</x:v>
      </x:c>
      <x:c r="C621" s="9" t="str">
        <x:v>PC</x:v>
      </x:c>
      <x:c r="D621" s="9" t="str">
        <x:v>Critical Path</x:v>
      </x:c>
      <x:c r="E621" s="9" t="str"/>
      <x:c r="F621" s="9" t="str">
        <x:v>Mechadeus</x:v>
      </x:c>
      <x:c r="G621" s="9" t="str">
        <x:v>Media Vision</x:v>
      </x:c>
      <x:c r="H621" s="9" t="n">
        <x:v>1993</x:v>
      </x:c>
      <x:c r="I621" s="9" t="str">
        <x:v>Yes</x:v>
      </x:c>
      <x:c r="J621" s="9" t="str">
        <x:v>No</x:v>
      </x:c>
      <x:c r="K621" s="9" t="str">
        <x:v>No</x:v>
      </x:c>
      <x:c r="L621" s="9" t="str">
        <x:v>No</x:v>
      </x:c>
      <x:c r="M621" s="9" t="str">
        <x:v>Interactive movie</x:v>
      </x:c>
      <x:c r="N621" s="9" t="str">
        <x:v>Live-action + CG</x:v>
      </x:c>
      <x:c r="O621" s="9" t="n">
        <x:v>10</x:v>
      </x:c>
      <x:c r="P621" s="9" t="str">
        <x:v>Interactive movie</x:v>
      </x:c>
      <x:c r="Q621" s="9" t="str">
        <x:v>Released</x:v>
      </x:c>
      <x:c r="R621" s="9" t="str">
        <x:v>PC original (Windows 3.1/Mac, 1993)</x:v>
      </x:c>
      <x:c r="S621" s="9" t="str">
        <x:v>Mac</x:v>
      </x:c>
      <x:c r="T621" s="9" t="str">
        <x:v>Eileen Weisinger (Kat)</x:v>
      </x:c>
      <x:c r="U621" s="9" t="n">
        <x:v>1</x:v>
      </x:c>
      <x:c r="V621" s="9" t="str">
        <x:v>Yes</x:v>
      </x:c>
      <x:c r="W621" s="9" t="str">
        <x:v>386/33, 4 MB RAM, 1x CD-ROM, SVGA; Windows 3.1 (verify)</x:v>
      </x:c>
      <x:c r="X621" s="9" t="str">
        <x:v>Low</x:v>
      </x:c>
      <x:c r="Y621" s="9" t="str"/>
      <x:c r="Z621" s="9" t="str">
        <x:v>1 hr</x:v>
      </x:c>
      <x:c r="AA621" s="9" t="str">
        <x:v>You watch a security monitor and work the base's systems to keep a mercenary alive, from the studio that made The Daedalus Encounter.</x:v>
      </x:c>
      <x:c r="AB621" s="9" t="str">
        <x:v>None known</x:v>
      </x:c>
      <x:c r="AC621" s="9" t="str">
        <x:v>Small-window live-action video (verify)</x:v>
      </x:c>
      <x:c r="AD621" s="9" t="str">
        <x:v>Moderate; trial and error with frequent deaths</x:v>
      </x:c>
      <x:c r="AE621" s="9" t="str">
        <x:v>Single ending; many death scenes</x:v>
      </x:c>
      <x:c r="AF621" s="9" t="str">
        <x:v>Mechadeus followed it with The Daedalus Encounter starring Tia Carrere.</x:v>
      </x:c>
      <x:c r="AG621" s="9" t="str"/>
      <x:c r="AH621" s="9" t="str">
        <x:v>No</x:v>
      </x:c>
      <x:c r="AI621" s="9" t="str">
        <x:v>Easy</x:v>
      </x:c>
      <x:c r="AJ621" s="9" t="str">
        <x:v>86Box/PCem for Windows 3.1/95-era titles</x:v>
      </x:c>
      <x:c r="AK621" s="9" t="str">
        <x:v>Price not fetched (budget ran out).</x:v>
      </x:c>
      <x:c r="AL621" s="10" t="n">
        <x:v>4.26</x:v>
      </x:c>
      <x:c r="AM621" s="10" t="n">
        <x:v>9.39</x:v>
      </x:c>
      <x:c r="AN621" s="10" t="n">
        <x:v>21.28</x:v>
      </x:c>
      <x:c r="AO621" s="9" t="str">
        <x:v>2026-10-24</x:v>
      </x:c>
      <x:c r="AP621" s="11" t="str">
        <x:f>HYPERLINK("https://www.pricecharting.com/game/pc-games/critical-path","PriceCharting")</x:f>
        <x:v>PriceCharting</x:v>
      </x:c>
      <x:c r="AQ621" s="9"/>
      <x:c r="AR621" s="9"/>
      <x:c r="AS621" s="9"/>
      <x:c r="AT621" s="9"/>
      <x:c r="AU621" s="9"/>
      <x:c r="AV621" s="9"/>
      <x:c r="AW621" s="9"/>
      <x:c r="AX621" s="9"/>
      <x:c r="AY621" s="9"/>
      <x:c r="AZ621" s="9"/>
      <x:c r="BA621" s="11" t="str">
        <x:f>HYPERLINK("https://www.mobygames.com/search/?q=Critical+Path","MobyGames")</x:f>
        <x:v>MobyGames</x:v>
      </x:c>
      <x:c r="BB621" s="9"/>
      <x:c r="BC621" s="9"/>
      <x:c r="BD621" s="9"/>
      <x:c r="BE621" s="11" t="str">
        <x:f>HYPERLINK("https://en.wikipedia.org/wiki/Critical_Path_(video_game)","Wikipedia")</x:f>
        <x:v>Wikipedia</x:v>
      </x:c>
      <x:c r="BF621" s="11" t="str">
        <x:f>HYPERLINK("https://backloggd.com/search/games/Critical%20Path/","Backloggd")</x:f>
        <x:v>Backloggd</x:v>
      </x:c>
      <x:c r="BG621" s="9"/>
      <x:c r="BH621" s="9"/>
      <x:c r="BI621" s="12" t="str">
        <x:v>No</x:v>
      </x:c>
      <x:c r="BJ621" s="12" t="str"/>
      <x:c r="BK621" s="12" t="str">
        <x:v>No</x:v>
      </x:c>
      <x:c r="BL621" s="12" t="str"/>
      <x:c r="BM621" s="12" t="str"/>
      <x:c r="BN621" s="12" t="str"/>
      <x:c r="BO621" s="12" t="str"/>
      <x:c r="BP621" s="12" t="str"/>
      <x:c r="BQ621" s="12" t="str"/>
    </x:row>
    <x:row r="622">
      <x:c r="A622" s="9" t="str">
        <x:v>pc-92</x:v>
      </x:c>
      <x:c r="B622" s="9" t="str">
        <x:v>the-daedalus-encounter</x:v>
      </x:c>
      <x:c r="C622" s="9" t="str">
        <x:v>PC</x:v>
      </x:c>
      <x:c r="D622" s="9" t="str">
        <x:v>The Daedalus Encounter</x:v>
      </x:c>
      <x:c r="E622" s="9" t="str"/>
      <x:c r="F622" s="9" t="str">
        <x:v>Mechadeus</x:v>
      </x:c>
      <x:c r="G622" s="9" t="str">
        <x:v>Virgin Interactive</x:v>
      </x:c>
      <x:c r="H622" s="9" t="n">
        <x:v>1995</x:v>
      </x:c>
      <x:c r="I622" s="9" t="str">
        <x:v>Yes</x:v>
      </x:c>
      <x:c r="J622" s="9" t="str">
        <x:v>No</x:v>
      </x:c>
      <x:c r="K622" s="9" t="str">
        <x:v>Yes</x:v>
      </x:c>
      <x:c r="L622" s="9" t="str">
        <x:v>No</x:v>
      </x:c>
      <x:c r="M622" s="9" t="str">
        <x:v>Interactive movie / puzzle</x:v>
      </x:c>
      <x:c r="N622" s="9" t="str">
        <x:v>Live-action + pre-rendered CG</x:v>
      </x:c>
      <x:c r="O622" s="9" t="n">
        <x:v>8</x:v>
      </x:c>
      <x:c r="P622" s="9" t="str">
        <x:v>Interactive movie</x:v>
      </x:c>
      <x:c r="Q622" s="9" t="str">
        <x:v>Released</x:v>
      </x:c>
      <x:c r="R622" s="9" t="str">
        <x:v>PC original (Windows/DOS, Apr 1995)</x:v>
      </x:c>
      <x:c r="S622" s="9" t="str">
        <x:v>3DO, Mac</x:v>
      </x:c>
      <x:c r="T622" s="9" t="str">
        <x:v>Tia Carrere (Ariel Matheson), Christian Bocher (Zack Smith)</x:v>
      </x:c>
      <x:c r="U622" s="9" t="n">
        <x:v>3</x:v>
      </x:c>
      <x:c r="V622" s="9" t="str">
        <x:v>Yes</x:v>
      </x:c>
      <x:c r="W622" s="9" t="str">
        <x:v>486DX/33, 8 MB RAM, 2x CD-ROM, SVGA; DOS &amp; Windows (verify)</x:v>
      </x:c>
      <x:c r="X622" s="9" t="str">
        <x:v>Low</x:v>
      </x:c>
      <x:c r="Y622" s="9" t="str"/>
      <x:c r="Z622" s="9" t="str">
        <x:v>3–5 hr</x:v>
      </x:c>
      <x:c r="AA622" s="9" t="str">
        <x:v>You are a brain in a jar and Tia Carrere is your pilot: three discs of sci-fi FMV.</x:v>
      </x:c>
      <x:c r="AB622" s="9" t="str">
        <x:v>None known</x:v>
      </x:c>
      <x:c r="AC622" s="9" t="str">
        <x:v>Unknown — verify</x:v>
      </x:c>
      <x:c r="AD622" s="9" t="str">
        <x:v>Moderate; puzzle-driven</x:v>
      </x:c>
      <x:c r="AE622" s="9" t="str">
        <x:v>Three endings</x:v>
      </x:c>
      <x:c r="AF622" s="9" t="str">
        <x:v>Alternate scenes were filmed at Cinerent Stage A in San Francisco so the story shifts with player progress.</x:v>
      </x:c>
      <x:c r="AG622" s="9" t="str">
        <x:v>Retail PC; later DVD-ROM OEM edition</x:v>
      </x:c>
      <x:c r="AH622" s="9" t="str">
        <x:v>No</x:v>
      </x:c>
      <x:c r="AI622" s="9" t="str">
        <x:v>Easy</x:v>
      </x:c>
      <x:c r="AJ622" s="9" t="str">
        <x:v>Original discs in DOSBox or a Windows 95 VM</x:v>
      </x:c>
      <x:c r="AK622" s="9" t="str">
        <x:v>PC disc count 3 (verify). PriceCharting slug resolved to the 3DO listing; PC price not fetched (budget ran out).</x:v>
      </x:c>
      <x:c r="AL622" s="10" t="n">
        <x:v>9.52</x:v>
      </x:c>
      <x:c r="AM622" s="10" t="n">
        <x:v>29.99</x:v>
      </x:c>
      <x:c r="AN622" s="10" t="n">
        <x:v>39.95</x:v>
      </x:c>
      <x:c r="AO622" s="9" t="str">
        <x:v>2026-10-24</x:v>
      </x:c>
      <x:c r="AP622" s="11" t="str">
        <x:f>HYPERLINK("https://www.pricecharting.com/game/pc-games/daedalus-encounter","PriceCharting")</x:f>
        <x:v>PriceCharting</x:v>
      </x:c>
      <x:c r="AQ622" s="9"/>
      <x:c r="AR622" s="9"/>
      <x:c r="AS622" s="9"/>
      <x:c r="AT622" s="9"/>
      <x:c r="AU622" s="9"/>
      <x:c r="AV622" s="9"/>
      <x:c r="AW622" s="9"/>
      <x:c r="AX622" s="9"/>
      <x:c r="AY622" s="9"/>
      <x:c r="AZ622" s="9"/>
      <x:c r="BA622" s="11" t="str">
        <x:f>HYPERLINK("https://www.mobygames.com/search/?q=The+Daedalus+Encounter","MobyGames")</x:f>
        <x:v>MobyGames</x:v>
      </x:c>
      <x:c r="BB622" s="9" t="str">
        <x:v>82%</x:v>
      </x:c>
      <x:c r="BC622" s="9" t="str">
        <x:v>average of 2 reviews on Wikipedia (GPPCG, PCGUK)</x:v>
      </x:c>
      <x:c r="BD622" s="9" t="str">
        <x:f>HYPERLINK("https://en.wikipedia.org/wiki/The_Daedalus_Encounter","Source")</x:f>
        <x:v>Source</x:v>
      </x:c>
      <x:c r="BE622" s="11" t="str">
        <x:f>HYPERLINK("https://en.wikipedia.org/wiki/The_Daedalus_Encounter","Wikipedia")</x:f>
        <x:v>Wikipedia</x:v>
      </x:c>
      <x:c r="BF622" s="11" t="str">
        <x:f>HYPERLINK("https://backloggd.com/search/games/The%20Daedalus%20Encounter/","Backloggd")</x:f>
        <x:v>Backloggd</x:v>
      </x:c>
      <x:c r="BG622" s="9"/>
      <x:c r="BH622" s="9"/>
      <x:c r="BI622" s="12" t="str">
        <x:v>No</x:v>
      </x:c>
      <x:c r="BJ622" s="12" t="str"/>
      <x:c r="BK622" s="12" t="str">
        <x:v>No</x:v>
      </x:c>
      <x:c r="BL622" s="12" t="str"/>
      <x:c r="BM622" s="12" t="str"/>
      <x:c r="BN622" s="12" t="str"/>
      <x:c r="BO622" s="12" t="str"/>
      <x:c r="BP622" s="12" t="str"/>
      <x:c r="BQ622" s="12" t="str"/>
    </x:row>
    <x:row r="623">
      <x:c r="A623" s="9" t="str">
        <x:v>pc-93</x:v>
      </x:c>
      <x:c r="B623" s="9" t="str">
        <x:v>mission-critical</x:v>
      </x:c>
      <x:c r="C623" s="9" t="str">
        <x:v>PC</x:v>
      </x:c>
      <x:c r="D623" s="9" t="str">
        <x:v>Mission Critical</x:v>
      </x:c>
      <x:c r="E623" s="9" t="str"/>
      <x:c r="F623" s="9" t="str">
        <x:v>Legend Entertainment</x:v>
      </x:c>
      <x:c r="G623" s="9" t="str">
        <x:v>Legend Entertainment</x:v>
      </x:c>
      <x:c r="H623" s="9" t="n">
        <x:v>1995</x:v>
      </x:c>
      <x:c r="I623" s="9" t="str">
        <x:v>Yes</x:v>
      </x:c>
      <x:c r="J623" s="9" t="str">
        <x:v>No</x:v>
      </x:c>
      <x:c r="K623" s="9" t="str">
        <x:v>Yes</x:v>
      </x:c>
      <x:c r="L623" s="9" t="str">
        <x:v>No</x:v>
      </x:c>
      <x:c r="M623" s="9" t="str">
        <x:v>Adventure</x:v>
      </x:c>
      <x:c r="N623" s="9" t="str">
        <x:v>Live-action + CG</x:v>
      </x:c>
      <x:c r="O623" s="9" t="n">
        <x:v>4</x:v>
      </x:c>
      <x:c r="P623" s="9" t="str">
        <x:v>FMV adventure</x:v>
      </x:c>
      <x:c r="Q623" s="9" t="str">
        <x:v>Released</x:v>
      </x:c>
      <x:c r="R623" s="9" t="str">
        <x:v>PC original (MS-DOS, 1995)</x:v>
      </x:c>
      <x:c r="S623" s="9" t="str">
        <x:v>None</x:v>
      </x:c>
      <x:c r="T623" s="9" t="str">
        <x:v>Michael Dorn, Patricia Charbonneau</x:v>
      </x:c>
      <x:c r="U623" s="9" t="n">
        <x:v>2</x:v>
      </x:c>
      <x:c r="V623" s="9" t="str">
        <x:v>Yes</x:v>
      </x:c>
      <x:c r="W623" s="9" t="str">
        <x:v>486DX/33, 8 MB RAM, 2x CD-ROM, SVGA; DOS</x:v>
      </x:c>
      <x:c r="X623" s="9" t="str">
        <x:v>Low</x:v>
      </x:c>
      <x:c r="Y623" s="9" t="str"/>
      <x:c r="Z623" s="9" t="str">
        <x:v>8–12 hr</x:v>
      </x:c>
      <x:c r="AA623" s="9" t="str">
        <x:v>Star Trek's Michael Dorn stars in a hard-SF adventure where you wake up alone on a sabotaged warship.</x:v>
      </x:c>
      <x:c r="AB623" s="9" t="str">
        <x:v>None known</x:v>
      </x:c>
      <x:c r="AC623" s="9" t="str">
        <x:v>Live-action cutscenes in SVGA (verify)</x:v>
      </x:c>
      <x:c r="AD623" s="9" t="str">
        <x:v>Hard; real science puzzles</x:v>
      </x:c>
      <x:c r="AE623" s="9" t="str">
        <x:v>Single ending</x:v>
      </x:c>
      <x:c r="AF623" s="9" t="str">
        <x:v>Written by Legend's Mike Verdu; reissued on GOG in 2018.</x:v>
      </x:c>
      <x:c r="AG623" s="9" t="str"/>
      <x:c r="AH623" s="9" t="str">
        <x:v>Yes (GOG)</x:v>
      </x:c>
      <x:c r="AI623" s="9" t="str">
        <x:v>Easy</x:v>
      </x:c>
      <x:c r="AJ623" s="9" t="str">
        <x:v>GOG</x:v>
      </x:c>
      <x:c r="AK623" s="9" t="str">
        <x:v>Disc count unconfirmed (verify). Price not fetched (budget ran out).</x:v>
      </x:c>
      <x:c r="AL623" s="10" t="n">
        <x:v>12.99</x:v>
      </x:c>
      <x:c r="AM623" s="10" t="n">
        <x:v>52.73</x:v>
      </x:c>
      <x:c r="AN623" s="10" t="n">
        <x:v>59.44</x:v>
      </x:c>
      <x:c r="AO623" s="9" t="str">
        <x:v>2026-10-24</x:v>
      </x:c>
      <x:c r="AP623" s="11" t="str">
        <x:f>HYPERLINK("https://www.pricecharting.com/game/pc-games/mission-critical","PriceCharting")</x:f>
        <x:v>PriceCharting</x:v>
      </x:c>
      <x:c r="AQ623" s="9" t="n">
        <x:v>1.39</x:v>
      </x:c>
      <x:c r="AR623" s="11" t="str">
        <x:v>GOG</x:v>
      </x:c>
      <x:c r="AS623" s="9" t="str">
        <x:f>HYPERLINK("https://www.gog.com/en/game/mission_critical","Store")</x:f>
        <x:v>Store</x:v>
      </x:c>
      <x:c r="AT623" s="9" t="str">
        <x:v>2026-10-24</x:v>
      </x:c>
      <x:c r="AU623" s="9"/>
      <x:c r="AV623" s="9"/>
      <x:c r="AW623" s="9"/>
      <x:c r="AX623" s="9"/>
      <x:c r="AY623" s="9"/>
      <x:c r="AZ623" s="9"/>
      <x:c r="BA623" s="11" t="str">
        <x:f>HYPERLINK("https://www.mobygames.com/search/?q=Mission+Critical","MobyGames")</x:f>
        <x:v>MobyGames</x:v>
      </x:c>
      <x:c r="BB623" s="9" t="str">
        <x:v>86%</x:v>
      </x:c>
      <x:c r="BC623" s="9" t="str">
        <x:v>GameRankings, 6 reviews</x:v>
      </x:c>
      <x:c r="BD623" s="9" t="str">
        <x:f>HYPERLINK("https://web.archive.org/web/20191209014029id_/https://www.gamerankings.com/pc/9560-mission-critical/","Source")</x:f>
        <x:v>Source</x:v>
      </x:c>
      <x:c r="BE623" s="11" t="str">
        <x:f>HYPERLINK("https://en.wikipedia.org/wiki/Mission_Critical_(video_game)","Wikipedia")</x:f>
        <x:v>Wikipedia</x:v>
      </x:c>
      <x:c r="BF623" s="11" t="str">
        <x:f>HYPERLINK("https://backloggd.com/search/games/Mission%20Critical/","Backloggd")</x:f>
        <x:v>Backloggd</x:v>
      </x:c>
      <x:c r="BG623" s="9"/>
      <x:c r="BH623" s="9"/>
      <x:c r="BI623" s="12" t="str">
        <x:v>No</x:v>
      </x:c>
      <x:c r="BJ623" s="12" t="str"/>
      <x:c r="BK623" s="12" t="str">
        <x:v>No</x:v>
      </x:c>
      <x:c r="BL623" s="12" t="str"/>
      <x:c r="BM623" s="12" t="str"/>
      <x:c r="BN623" s="12" t="str"/>
      <x:c r="BO623" s="12" t="str"/>
      <x:c r="BP623" s="12" t="str"/>
      <x:c r="BQ623" s="12" t="str"/>
    </x:row>
    <x:row r="624">
      <x:c r="A624" s="9" t="str">
        <x:v>pc-94</x:v>
      </x:c>
      <x:c r="B624" s="9" t="str">
        <x:v>silent-steel</x:v>
      </x:c>
      <x:c r="C624" s="9" t="str">
        <x:v>PC</x:v>
      </x:c>
      <x:c r="D624" s="9" t="str">
        <x:v>Silent Steel</x:v>
      </x:c>
      <x:c r="E624" s="9" t="str"/>
      <x:c r="F624" s="9" t="str">
        <x:v>Tsunami Media</x:v>
      </x:c>
      <x:c r="G624" s="9" t="str">
        <x:v>Tsunami Media</x:v>
      </x:c>
      <x:c r="H624" s="9" t="n">
        <x:v>1995</x:v>
      </x:c>
      <x:c r="I624" s="9" t="str">
        <x:v>Yes</x:v>
      </x:c>
      <x:c r="J624" s="9" t="str">
        <x:v>No</x:v>
      </x:c>
      <x:c r="K624" s="9" t="str">
        <x:v>No</x:v>
      </x:c>
      <x:c r="L624" s="9" t="str">
        <x:v>No</x:v>
      </x:c>
      <x:c r="M624" s="9" t="str">
        <x:v>Interactive movie</x:v>
      </x:c>
      <x:c r="N624" s="9" t="str">
        <x:v>Live-action</x:v>
      </x:c>
      <x:c r="O624" s="9" t="n">
        <x:v>10</x:v>
      </x:c>
      <x:c r="P624" s="9" t="str">
        <x:v>Interactive movie</x:v>
      </x:c>
      <x:c r="Q624" s="9" t="str">
        <x:v>Released</x:v>
      </x:c>
      <x:c r="R624" s="9" t="str">
        <x:v>PC original (1995)</x:v>
      </x:c>
      <x:c r="S624" s="9" t="str">
        <x:v>DVD player</x:v>
      </x:c>
      <x:c r="T624" s="9" t="str">
        <x:v>Brian McNamara (Executive Officer), Jim Metzler (Master Chief), Fredric Lehne (Lt. Wheeler), John Short (Ensign Foster), Charles McLawhorn (Admiral Plaskett), Joy Parry (Deputy Director Matthews)</x:v>
      </x:c>
      <x:c r="U624" s="9" t="n">
        <x:v>4</x:v>
      </x:c>
      <x:c r="V624" s="9" t="str">
        <x:v>Yes</x:v>
      </x:c>
      <x:c r="W624" s="9" t="str">
        <x:v>486DX/33, 8 MB RAM, 2x CD-ROM, SVGA; DOS &amp; Windows (verify)</x:v>
      </x:c>
      <x:c r="X624" s="9" t="str">
        <x:v>Low</x:v>
      </x:c>
      <x:c r="Y624" s="9" t="str"/>
      <x:c r="Z624" s="9" t="str">
        <x:v>1–2 hr</x:v>
      </x:c>
      <x:c r="AA624" s="9" t="str">
        <x:v>You command a nuclear submarine in a branching live-action Cold War thriller.</x:v>
      </x:c>
      <x:c r="AB624" s="9" t="str">
        <x:v>None known</x:v>
      </x:c>
      <x:c r="AC624" s="9" t="str">
        <x:v>Unknown — verify</x:v>
      </x:c>
      <x:c r="AD624" s="9" t="str">
        <x:v>Moderate</x:v>
      </x:c>
      <x:c r="AE624" s="9" t="str">
        <x:v>Multiple endings depending on command decisions (verify)</x:v>
      </x:c>
      <x:c r="AF624" s="9" t="str">
        <x:v>Tsunami Media's last major production before the studio closed.</x:v>
      </x:c>
      <x:c r="AG624" s="9" t="str"/>
      <x:c r="AH624" s="9" t="str">
        <x:v>No</x:v>
      </x:c>
      <x:c r="AI624" s="9" t="str">
        <x:v>Easy</x:v>
      </x:c>
      <x:c r="AJ624" s="9" t="str">
        <x:v>Original discs in DOSBox</x:v>
      </x:c>
      <x:c r="AK624" s="9" t="str">
        <x:v>Disc count unconfirmed (verify). Price not fetched (budget ran out).</x:v>
      </x:c>
      <x:c r="AL624" s="10"/>
      <x:c r="AM624" s="10"/>
      <x:c r="AN624" s="10"/>
      <x:c r="AO624" s="9"/>
      <x:c r="AP624" s="11" t="str">
        <x:f>HYPERLINK("https://www.pricecharting.com/search-products?q=Silent+Steel+pc+games&amp;type=prices","PriceCharting")</x:f>
        <x:v>PriceCharting</x:v>
      </x:c>
      <x:c r="AQ624" s="9"/>
      <x:c r="AR624" s="9"/>
      <x:c r="AS624" s="9"/>
      <x:c r="AT624" s="9"/>
      <x:c r="AU624" s="9" t="str">
        <x:v>No market</x:v>
      </x:c>
      <x:c r="AV624" s="9" t="str">
        <x:v>Not sold on Steam or GOG (checked 2026-10-25) and no PriceCharting listing.</x:v>
      </x:c>
      <x:c r="AW624" s="9"/>
      <x:c r="AX624" s="9"/>
      <x:c r="AY624" s="9"/>
      <x:c r="AZ624" s="9"/>
      <x:c r="BA624" s="11" t="str">
        <x:f>HYPERLINK("https://www.mobygames.com/search/?q=Silent+Steel","MobyGames")</x:f>
        <x:v>MobyGames</x:v>
      </x:c>
      <x:c r="BB624" s="9"/>
      <x:c r="BC624" s="9"/>
      <x:c r="BD624" s="9"/>
      <x:c r="BE624" s="11" t="str">
        <x:f>HYPERLINK("https://en.wikipedia.org/wiki/Silent_Steel","Wikipedia")</x:f>
        <x:v>Wikipedia</x:v>
      </x:c>
      <x:c r="BF624" s="11" t="str">
        <x:f>HYPERLINK("https://backloggd.com/search/games/Silent%20Steel/","Backloggd")</x:f>
        <x:v>Backloggd</x:v>
      </x:c>
      <x:c r="BG624" s="9"/>
      <x:c r="BH624" s="9"/>
      <x:c r="BI624" s="12" t="str">
        <x:v>No</x:v>
      </x:c>
      <x:c r="BJ624" s="12" t="str"/>
      <x:c r="BK624" s="12" t="str">
        <x:v>No</x:v>
      </x:c>
      <x:c r="BL624" s="12" t="str"/>
      <x:c r="BM624" s="12" t="str"/>
      <x:c r="BN624" s="12" t="str"/>
      <x:c r="BO624" s="12" t="str"/>
      <x:c r="BP624" s="12" t="str"/>
      <x:c r="BQ624" s="12" t="str"/>
    </x:row>
    <x:row r="625">
      <x:c r="A625" s="9" t="str">
        <x:v>pc-95</x:v>
      </x:c>
      <x:c r="B625" s="9" t="str">
        <x:v>blown-away</x:v>
      </x:c>
      <x:c r="C625" s="9" t="str">
        <x:v>PC</x:v>
      </x:c>
      <x:c r="D625" s="9" t="str">
        <x:v>Blown Away</x:v>
      </x:c>
      <x:c r="E625" s="9" t="str"/>
      <x:c r="F625" s="9" t="str">
        <x:v>Imagination Pilots</x:v>
      </x:c>
      <x:c r="G625" s="9" t="str">
        <x:v>IVI Publishing</x:v>
      </x:c>
      <x:c r="H625" s="9" t="n">
        <x:v>1994</x:v>
      </x:c>
      <x:c r="I625" s="9" t="str">
        <x:v>Yes</x:v>
      </x:c>
      <x:c r="J625" s="9" t="str">
        <x:v>No</x:v>
      </x:c>
      <x:c r="K625" s="9" t="str">
        <x:v>No</x:v>
      </x:c>
      <x:c r="L625" s="9" t="str">
        <x:v>No</x:v>
      </x:c>
      <x:c r="M625" s="9" t="str">
        <x:v>Puzzle / interactive movie</x:v>
      </x:c>
      <x:c r="N625" s="9" t="str">
        <x:v>Live-action</x:v>
      </x:c>
      <x:c r="O625" s="9" t="n">
        <x:v>7</x:v>
      </x:c>
      <x:c r="P625" s="9" t="str">
        <x:v>Interactive movie</x:v>
      </x:c>
      <x:c r="Q625" s="9" t="str">
        <x:v>Released</x:v>
      </x:c>
      <x:c r="R625" s="9" t="str">
        <x:v>Film license (Blown Away, 1994)</x:v>
      </x:c>
      <x:c r="S625" s="9" t="str">
        <x:v>Mac</x:v>
      </x:c>
      <x:c r="T625" s="9" t="str">
        <x:v>Unknown — verify (original cast, not the film's stars)</x:v>
      </x:c>
      <x:c r="U625" s="9" t="n">
        <x:v>1</x:v>
      </x:c>
      <x:c r="V625" s="9" t="str">
        <x:v>Yes</x:v>
      </x:c>
      <x:c r="W625" s="9" t="str">
        <x:v>486, 8 MB RAM, 2x CD-ROM, SVGA; Windows 3.1 (verify)</x:v>
      </x:c>
      <x:c r="X625" s="9" t="str">
        <x:v>Med</x:v>
      </x:c>
      <x:c r="Y625" s="9" t="str">
        <x:v>Film tie-in; any footage or music from the 1994 film (verify)</x:v>
      </x:c>
      <x:c r="Z625" s="9" t="str">
        <x:v>3–5 hr</x:v>
      </x:c>
      <x:c r="AA625" s="9" t="str">
        <x:v>A bomb-defusing puzzle game tied to the Jeff Bridges film, with its own live-action cast.</x:v>
      </x:c>
      <x:c r="AB625" s="9" t="str">
        <x:v>None known</x:v>
      </x:c>
      <x:c r="AC625" s="9" t="str">
        <x:v>Small-window live-action video (verify)</x:v>
      </x:c>
      <x:c r="AD625" s="9" t="str">
        <x:v>Hard; logic puzzles under a timer</x:v>
      </x:c>
      <x:c r="AE625" s="9" t="str">
        <x:v>Single ending</x:v>
      </x:c>
      <x:c r="AF625" s="9" t="str">
        <x:v>Imagination Pilots also made Panic in the Park and Where's Waldo? at the Circus.</x:v>
      </x:c>
      <x:c r="AG625" s="9" t="str"/>
      <x:c r="AH625" s="9" t="str">
        <x:v>No</x:v>
      </x:c>
      <x:c r="AI625" s="9" t="str">
        <x:v>Easy</x:v>
      </x:c>
      <x:c r="AJ625" s="9" t="str">
        <x:v>86Box/PCem for Windows 3.1/95-era titles</x:v>
      </x:c>
      <x:c r="AK625" s="9" t="str">
        <x:v>Price not fetched (budget ran out).</x:v>
      </x:c>
      <x:c r="AL625" s="10"/>
      <x:c r="AM625" s="10"/>
      <x:c r="AN625" s="10"/>
      <x:c r="AO625" s="9"/>
      <x:c r="AP625" s="11" t="str">
        <x:f>HYPERLINK("https://www.pricecharting.com/search-products?q=Blown+Away+pc+games&amp;type=prices","PriceCharting")</x:f>
        <x:v>PriceCharting</x:v>
      </x:c>
      <x:c r="AQ625" s="9"/>
      <x:c r="AR625" s="9"/>
      <x:c r="AS625" s="9"/>
      <x:c r="AT625" s="9"/>
      <x:c r="AU625" s="9" t="str">
        <x:v>No market</x:v>
      </x:c>
      <x:c r="AV625" s="9" t="str">
        <x:v>Not sold on Steam or GOG (checked 2026-10-25) and no PriceCharting listing.</x:v>
      </x:c>
      <x:c r="AW625" s="9"/>
      <x:c r="AX625" s="9"/>
      <x:c r="AY625" s="9"/>
      <x:c r="AZ625" s="9"/>
      <x:c r="BA625" s="11" t="str">
        <x:f>HYPERLINK("https://www.mobygames.com/search/?q=Blown+Away","MobyGames")</x:f>
        <x:v>MobyGames</x:v>
      </x:c>
      <x:c r="BB625" s="9" t="str">
        <x:v>79%</x:v>
      </x:c>
      <x:c r="BC625" s="9" t="str">
        <x:v>1 review from a PC-only magazine on Wikipedia (PCGUS)</x:v>
      </x:c>
      <x:c r="BD625" s="9" t="str">
        <x:f>HYPERLINK("https://en.wikipedia.org/wiki/Blown_Away_%28video_game%29","Source")</x:f>
        <x:v>Source</x:v>
      </x:c>
      <x:c r="BE625" s="11" t="str">
        <x:f>HYPERLINK("https://en.wikipedia.org/wiki/Blown_Away_(video_game)","Wikipedia")</x:f>
        <x:v>Wikipedia</x:v>
      </x:c>
      <x:c r="BF625" s="11" t="str">
        <x:f>HYPERLINK("https://backloggd.com/search/games/Blown%20Away/","Backloggd")</x:f>
        <x:v>Backloggd</x:v>
      </x:c>
      <x:c r="BG625" s="9"/>
      <x:c r="BH625" s="9"/>
      <x:c r="BI625" s="12" t="str">
        <x:v>No</x:v>
      </x:c>
      <x:c r="BJ625" s="12" t="str"/>
      <x:c r="BK625" s="12" t="str">
        <x:v>No</x:v>
      </x:c>
      <x:c r="BL625" s="12" t="str"/>
      <x:c r="BM625" s="12" t="str"/>
      <x:c r="BN625" s="12" t="str"/>
      <x:c r="BO625" s="12" t="str"/>
      <x:c r="BP625" s="12" t="str"/>
      <x:c r="BQ625" s="12" t="str"/>
    </x:row>
    <x:row r="626">
      <x:c r="A626" s="9" t="str">
        <x:v>pc-96</x:v>
      </x:c>
      <x:c r="B626" s="9" t="str">
        <x:v>the-psychotron</x:v>
      </x:c>
      <x:c r="C626" s="9" t="str">
        <x:v>PC</x:v>
      </x:c>
      <x:c r="D626" s="9" t="str">
        <x:v>The Psychotron</x:v>
      </x:c>
      <x:c r="E626" s="9" t="str">
        <x:v>Psychotron</x:v>
      </x:c>
      <x:c r="F626" s="9" t="str">
        <x:v>Merit Studios</x:v>
      </x:c>
      <x:c r="G626" s="9" t="str">
        <x:v>Merit Studios</x:v>
      </x:c>
      <x:c r="H626" s="9" t="n">
        <x:v>1994</x:v>
      </x:c>
      <x:c r="I626" s="9" t="str">
        <x:v>Yes</x:v>
      </x:c>
      <x:c r="J626" s="9" t="str">
        <x:v>No</x:v>
      </x:c>
      <x:c r="K626" s="9" t="str">
        <x:v>No</x:v>
      </x:c>
      <x:c r="L626" s="9" t="str">
        <x:v>No</x:v>
      </x:c>
      <x:c r="M626" s="9" t="str">
        <x:v>Interactive movie</x:v>
      </x:c>
      <x:c r="N626" s="9" t="str">
        <x:v>Live-action</x:v>
      </x:c>
      <x:c r="O626" s="9" t="n">
        <x:v>10</x:v>
      </x:c>
      <x:c r="P626" s="9" t="str">
        <x:v>Interactive movie</x:v>
      </x:c>
      <x:c r="Q626" s="9" t="str">
        <x:v>Released</x:v>
      </x:c>
      <x:c r="R626" s="9" t="str">
        <x:v>PC original (1994)</x:v>
      </x:c>
      <x:c r="S626" s="9" t="str">
        <x:v>None (Windows only)</x:v>
      </x:c>
      <x:c r="T626" s="9" t="str">
        <x:v>Unknown — verify</x:v>
      </x:c>
      <x:c r="U626" s="9" t="n">
        <x:v>1</x:v>
      </x:c>
      <x:c r="V626" s="9" t="str">
        <x:v>Yes</x:v>
      </x:c>
      <x:c r="W626" s="9" t="str">
        <x:v>386/33, 4 MB RAM, 1x CD-ROM, SVGA; DOS &amp; Windows (verify)</x:v>
      </x:c>
      <x:c r="X626" s="9" t="str">
        <x:v>Low</x:v>
      </x:c>
      <x:c r="Y626" s="9" t="str"/>
      <x:c r="Z626" s="9" t="str">
        <x:v>1–2 hr</x:v>
      </x:c>
      <x:c r="AA626" s="9" t="str">
        <x:v>A 1994 live-action FMV mystery from Merit Studios, played by reviewing filmed footage (plot details verify).</x:v>
      </x:c>
      <x:c r="AB626" s="9" t="str">
        <x:v>None known</x:v>
      </x:c>
      <x:c r="AC626" s="9" t="str">
        <x:v>Unknown — verify</x:v>
      </x:c>
      <x:c r="AD626" s="9" t="str">
        <x:v>Moderate</x:v>
      </x:c>
      <x:c r="AE626" s="9" t="str">
        <x:v>Unknown — verify</x:v>
      </x:c>
      <x:c r="AF626" s="9" t="str">
        <x:v>Unknown — verify</x:v>
      </x:c>
      <x:c r="AG626" s="9" t="str"/>
      <x:c r="AH626" s="9" t="str">
        <x:v>No</x:v>
      </x:c>
      <x:c r="AI626" s="9" t="str">
        <x:v>Easy</x:v>
      </x:c>
      <x:c r="AJ626" s="9" t="str">
        <x:v>Original discs in DOSBox</x:v>
      </x:c>
      <x:c r="AK626" s="9" t="str">
        <x:v>List title was 'Psychotron'; the release is titled The Psychotron. Price not fetched (budget ran out).</x:v>
      </x:c>
      <x:c r="AL626" s="10"/>
      <x:c r="AM626" s="10"/>
      <x:c r="AN626" s="10"/>
      <x:c r="AO626" s="9"/>
      <x:c r="AP626" s="11" t="str">
        <x:f>HYPERLINK("https://www.pricecharting.com/search-products?q=The+Psychotron+pc+games&amp;type=prices","PriceCharting")</x:f>
        <x:v>PriceCharting</x:v>
      </x:c>
      <x:c r="AQ626" s="9"/>
      <x:c r="AR626" s="9"/>
      <x:c r="AS626" s="9"/>
      <x:c r="AT626" s="9"/>
      <x:c r="AU626" s="9" t="str">
        <x:v>No market</x:v>
      </x:c>
      <x:c r="AV626" s="9" t="str">
        <x:v>Not sold on Steam or GOG (checked 2026-10-25) and no PriceCharting listing.</x:v>
      </x:c>
      <x:c r="AW626" s="9"/>
      <x:c r="AX626" s="9"/>
      <x:c r="AY626" s="9" t="str">
        <x:v>38%</x:v>
      </x:c>
      <x:c r="AZ626" s="9" t="str">
        <x:v>0.0</x:v>
      </x:c>
      <x:c r="BA626" s="11" t="str">
        <x:f>HYPERLINK("https://www.mobygames.com/game/dos/psychotron","MobyGames")</x:f>
        <x:v>MobyGames</x:v>
      </x:c>
      <x:c r="BB626" s="9"/>
      <x:c r="BC626" s="9"/>
      <x:c r="BD626" s="9"/>
      <x:c r="BE626" s="11" t="str">
        <x:f>HYPERLINK("https://en.wikipedia.org/wiki/The_Psychotron","Wikipedia")</x:f>
        <x:v>Wikipedia</x:v>
      </x:c>
      <x:c r="BF626" s="11" t="str">
        <x:f>HYPERLINK("https://backloggd.com/search/games/The%20Psychotron/","Backloggd")</x:f>
        <x:v>Backloggd</x:v>
      </x:c>
      <x:c r="BG626" s="9"/>
      <x:c r="BH626" s="9"/>
      <x:c r="BI626" s="12" t="str">
        <x:v>No</x:v>
      </x:c>
      <x:c r="BJ626" s="12" t="str"/>
      <x:c r="BK626" s="12" t="str">
        <x:v>No</x:v>
      </x:c>
      <x:c r="BL626" s="12" t="str"/>
      <x:c r="BM626" s="12" t="str"/>
      <x:c r="BN626" s="12" t="str"/>
      <x:c r="BO626" s="12" t="str"/>
      <x:c r="BP626" s="12" t="str"/>
      <x:c r="BQ626" s="12" t="str"/>
    </x:row>
    <x:row r="627">
      <x:c r="A627" s="9" t="str">
        <x:v>pc-97</x:v>
      </x:c>
      <x:c r="B627" s="9" t="str">
        <x:v>myst</x:v>
      </x:c>
      <x:c r="C627" s="9" t="str">
        <x:v>PC</x:v>
      </x:c>
      <x:c r="D627" s="9" t="str">
        <x:v>Myst</x:v>
      </x:c>
      <x:c r="E627" s="9" t="str"/>
      <x:c r="F627" s="9" t="str">
        <x:v>Cyan</x:v>
      </x:c>
      <x:c r="G627" s="9" t="str">
        <x:v>Brøderbund</x:v>
      </x:c>
      <x:c r="H627" s="9" t="n">
        <x:v>1994</x:v>
      </x:c>
      <x:c r="I627" s="9" t="str">
        <x:v>Yes</x:v>
      </x:c>
      <x:c r="J627" s="9" t="str">
        <x:v>No</x:v>
      </x:c>
      <x:c r="K627" s="9" t="str">
        <x:v>Yes</x:v>
      </x:c>
      <x:c r="L627" s="9" t="str">
        <x:v>No</x:v>
      </x:c>
      <x:c r="M627" s="9" t="str">
        <x:v>First-person puzzle adventure</x:v>
      </x:c>
      <x:c r="N627" s="9" t="str">
        <x:v>Live-action + pre-rendered CG</x:v>
      </x:c>
      <x:c r="O627" s="9" t="n">
        <x:v>5</x:v>
      </x:c>
      <x:c r="P627" s="9" t="str">
        <x:v>FMV adventure</x:v>
      </x:c>
      <x:c r="Q627" s="9" t="str">
        <x:v>Released</x:v>
      </x:c>
      <x:c r="R627" s="9" t="str">
        <x:v>Original production (Mac original, 1993)</x:v>
      </x:c>
      <x:c r="S627" s="9" t="str">
        <x:v>Mac, Saturn, PlayStation, 3DO, CD-i, Jaguar CD, PSP, DS, iOS and many later ports</x:v>
      </x:c>
      <x:c r="T627" s="9" t="str">
        <x:v>Rand Miller (Atrus, Achenar), Robyn Miller (Sirrus)</x:v>
      </x:c>
      <x:c r="U627" s="9" t="n">
        <x:v>1</x:v>
      </x:c>
      <x:c r="V627" s="9" t="str">
        <x:v>Yes</x:v>
      </x:c>
      <x:c r="W627" s="9" t="str">
        <x:v>386/33 or better, 4 MB RAM (8 rec.), 2x CD-ROM, 256-colour SVGA; Windows 3.1 (verify exact minimum)</x:v>
      </x:c>
      <x:c r="X627" s="9" t="str">
        <x:v>Low</x:v>
      </x:c>
      <x:c r="Y627" s="9" t="str"/>
      <x:c r="Z627" s="9" t="str">
        <x:v>4–8 hr blind; under 1 hr with a walkthrough</x:v>
      </x:c>
      <x:c r="AA627" s="9" t="str">
        <x:v>The best-selling PC game of the 1990s: a silent island of pre-rendered stills where two trapped brothers beg you through flickering QuickTime clips.</x:v>
      </x:c>
      <x:c r="AB627" s="9" t="str">
        <x:v>None known</x:v>
      </x:c>
      <x:c r="AC627" s="9" t="str">
        <x:v>Small QuickTime windows inset into 544x332 still frames, roughly 10–15 fps (verify)</x:v>
      </x:c>
      <x:c r="AD627" s="9" t="str">
        <x:v>Moderate; obscure puzzles, no deaths</x:v>
      </x:c>
      <x:c r="AE627" s="9" t="str">
        <x:v>Four endings: free Sirrus, free Achenar, link to D'ni without the page, or bring Atrus the white page</x:v>
      </x:c>
      <x:c r="AF627" s="9" t="str">
        <x:v>Rand and Robyn Miller played the brothers themselves; the island was rendered on Macs in StrataVision 3D.</x:v>
      </x:c>
      <x:c r="AG627" s="9" t="str">
        <x:v>Windows jewel case and big box; Myst Masterpiece Edition (2000, 24-bit art); realMyst (2000, real-time 3D); Myst (2021 remake)</x:v>
      </x:c>
      <x:c r="AH627" s="9" t="str">
        <x:v>Yes (GOG, Steam: Myst Masterpiece Edition, realMyst, Myst 2021)</x:v>
      </x:c>
      <x:c r="AI627" s="9" t="str">
        <x:v>Easy</x:v>
      </x:c>
      <x:c r="AJ627" s="9" t="str">
        <x:v>GOG/Steam (Myst Masterpiece Edition, realMyst); original disc via ScummVM</x:v>
      </x:c>
      <x:c r="AK627" s="9" t="str">
        <x:v>PC record covers the 1994 Windows release; Japanese PC release not confirmed (verify).</x:v>
      </x:c>
      <x:c r="AL627" s="10" t="n">
        <x:v>4.57</x:v>
      </x:c>
      <x:c r="AM627" s="10" t="n">
        <x:v>12.99</x:v>
      </x:c>
      <x:c r="AN627" s="10" t="n">
        <x:v>33.49</x:v>
      </x:c>
      <x:c r="AO627" s="9" t="str">
        <x:v>2026-10-24</x:v>
      </x:c>
      <x:c r="AP627" s="11" t="str">
        <x:f>HYPERLINK("https://www.pricecharting.com/game/pc-games/myst","PriceCharting")</x:f>
        <x:v>PriceCharting</x:v>
      </x:c>
      <x:c r="AQ627" s="9" t="n">
        <x:v>1.79</x:v>
      </x:c>
      <x:c r="AR627" s="11" t="str">
        <x:v>Steam</x:v>
      </x:c>
      <x:c r="AS627" s="9" t="str">
        <x:f>HYPERLINK("https://store.steampowered.com/app/63660/","Store")</x:f>
        <x:v>Store</x:v>
      </x:c>
      <x:c r="AT627" s="9" t="str">
        <x:v>2026-10-24</x:v>
      </x:c>
      <x:c r="AU627" s="9"/>
      <x:c r="AV627" s="9"/>
      <x:c r="AW627" s="9"/>
      <x:c r="AX627" s="9"/>
      <x:c r="AY627" s="9"/>
      <x:c r="AZ627" s="9"/>
      <x:c r="BA627" s="11" t="str">
        <x:f>HYPERLINK("https://www.mobygames.com/search/?q=Myst","MobyGames")</x:f>
        <x:v>MobyGames</x:v>
      </x:c>
      <x:c r="BB627" s="9" t="str">
        <x:v>83%</x:v>
      </x:c>
      <x:c r="BC627" s="9" t="str">
        <x:v>GameRankings, 7 reviews</x:v>
      </x:c>
      <x:c r="BD627" s="9" t="str">
        <x:f>HYPERLINK("https://web.archive.org/web/20191209014518id_/https://www.gamerankings.com/pc/89467-myst/","Source")</x:f>
        <x:v>Source</x:v>
      </x:c>
      <x:c r="BE627" s="11" t="str">
        <x:f>HYPERLINK("https://en.wikipedia.org/wiki/Myst","Wikipedia")</x:f>
        <x:v>Wikipedia</x:v>
      </x:c>
      <x:c r="BF627" s="11" t="str">
        <x:f>HYPERLINK("https://backloggd.com/search/games/Myst/","Backloggd")</x:f>
        <x:v>Backloggd</x:v>
      </x:c>
      <x:c r="BG627" s="9"/>
      <x:c r="BH627" s="9"/>
      <x:c r="BI627" s="12" t="str">
        <x:v>No</x:v>
      </x:c>
      <x:c r="BJ627" s="12" t="str"/>
      <x:c r="BK627" s="12" t="str">
        <x:v>No</x:v>
      </x:c>
      <x:c r="BL627" s="12" t="str"/>
      <x:c r="BM627" s="12" t="str"/>
      <x:c r="BN627" s="12" t="str"/>
      <x:c r="BO627" s="12" t="str"/>
      <x:c r="BP627" s="12" t="str"/>
      <x:c r="BQ627" s="12" t="str"/>
    </x:row>
    <x:row r="628">
      <x:c r="A628" s="9" t="str">
        <x:v>pc-98</x:v>
      </x:c>
      <x:c r="B628" s="9" t="str">
        <x:v>riven-the-sequel-to-myst</x:v>
      </x:c>
      <x:c r="C628" s="9" t="str">
        <x:v>PC</x:v>
      </x:c>
      <x:c r="D628" s="9" t="str">
        <x:v>Riven: The Sequel to Myst</x:v>
      </x:c>
      <x:c r="E628" s="9" t="str">
        <x:v>Riven</x:v>
      </x:c>
      <x:c r="F628" s="9" t="str">
        <x:v>Cyan</x:v>
      </x:c>
      <x:c r="G628" s="9" t="str">
        <x:v>Red Orb Entertainment (Brøderbund)</x:v>
      </x:c>
      <x:c r="H628" s="9" t="n">
        <x:v>1997</x:v>
      </x:c>
      <x:c r="I628" s="9" t="str">
        <x:v>Yes</x:v>
      </x:c>
      <x:c r="J628" s="9" t="str">
        <x:v>No</x:v>
      </x:c>
      <x:c r="K628" s="9" t="str">
        <x:v>Yes</x:v>
      </x:c>
      <x:c r="L628" s="9" t="str">
        <x:v>No</x:v>
      </x:c>
      <x:c r="M628" s="9" t="str">
        <x:v>First-person puzzle adventure</x:v>
      </x:c>
      <x:c r="N628" s="9" t="str">
        <x:v>Live-action + pre-rendered CG</x:v>
      </x:c>
      <x:c r="O628" s="9" t="n">
        <x:v>5</x:v>
      </x:c>
      <x:c r="P628" s="9" t="str">
        <x:v>FMV adventure</x:v>
      </x:c>
      <x:c r="Q628" s="9" t="str">
        <x:v>Released</x:v>
      </x:c>
      <x:c r="R628" s="9" t="str">
        <x:v>Original production (sequel to Myst)</x:v>
      </x:c>
      <x:c r="S628" s="9" t="str">
        <x:v>Mac, Saturn (JP), PlayStation, Pocket PC, iOS</x:v>
      </x:c>
      <x:c r="T628" s="9" t="str">
        <x:v>John Keston (Gehn), Rand Miller (Atrus), Sheila Goold (Catherine)</x:v>
      </x:c>
      <x:c r="U628" s="9" t="n">
        <x:v>5</x:v>
      </x:c>
      <x:c r="V628" s="9" t="str">
        <x:v>Yes</x:v>
      </x:c>
      <x:c r="W628" s="9" t="str">
        <x:v>Pentium 75, 16 MB RAM, 4x CD-ROM, 640x480 thousands of colours; Windows 95 (verify)</x:v>
      </x:c>
      <x:c r="X628" s="9" t="str">
        <x:v>Low</x:v>
      </x:c>
      <x:c r="Y628" s="9" t="str"/>
      <x:c r="Z628" s="9" t="str">
        <x:v>10–20 hr blind</x:v>
      </x:c>
      <x:c r="AA628" s="9" t="str">
        <x:v>John Keston's Gehn delivers one of the great live-action villain monologues of the CD-ROM era, composited into a world of 5,000 rendered stills.</x:v>
      </x:c>
      <x:c r="AB628" s="9" t="str">
        <x:v>None known</x:v>
      </x:c>
      <x:c r="AC628" s="9" t="str">
        <x:v>QuickTime clips composited into 608x392 rendered frames, about 15 fps (verify)</x:v>
      </x:c>
      <x:c r="AD628" s="9" t="str">
        <x:v>Hard; the 5-number dome puzzle and D'ni numerals are notorious</x:v>
      </x:c>
      <x:c r="AE628" s="9" t="str">
        <x:v>Several bad endings (killed or trapped by Gehn, Atrus imprisoned) and one best ending capturing Gehn and freeing Catherine</x:v>
      </x:c>
      <x:c r="AF628" s="9" t="str">
        <x:v>Gehn's scenes were shot against bluescreen; Keston was a Shakespearean actor who later played Gehn again in fan events.</x:v>
      </x:c>
      <x:c r="AG628" s="9" t="str">
        <x:v>5-CD jewel/big box; DVD-ROM edition (1998) with better video and audio; Myst/Riven bundles</x:v>
      </x:c>
      <x:c r="AH628" s="9" t="str">
        <x:v>Yes (GOG, Steam; 2024 remake)</x:v>
      </x:c>
      <x:c r="AI628" s="9" t="str">
        <x:v>Easy</x:v>
      </x:c>
      <x:c r="AJ628" s="9" t="str">
        <x:v>GOG/Steam (original Riven or the 2024 remake); original discs via ScummVM</x:v>
      </x:c>
      <x:c r="AK628" s="9" t="str"/>
      <x:c r="AL628" s="10" t="n">
        <x:v>5</x:v>
      </x:c>
      <x:c r="AM628" s="10" t="n">
        <x:v>14.99</x:v>
      </x:c>
      <x:c r="AN628" s="10" t="n">
        <x:v>15</x:v>
      </x:c>
      <x:c r="AO628" s="9" t="str">
        <x:v>2026-10-24</x:v>
      </x:c>
      <x:c r="AP628" s="11" t="str">
        <x:f>HYPERLINK("https://www.pricecharting.com/game/pc-games/riven-sequel-to-myst","PriceCharting")</x:f>
        <x:v>PriceCharting</x:v>
      </x:c>
      <x:c r="AQ628" s="9" t="n">
        <x:v>1.79</x:v>
      </x:c>
      <x:c r="AR628" s="11" t="str">
        <x:v>Steam</x:v>
      </x:c>
      <x:c r="AS628" s="9" t="str">
        <x:f>HYPERLINK("https://store.steampowered.com/app/63610/","Store")</x:f>
        <x:v>Store</x:v>
      </x:c>
      <x:c r="AT628" s="9" t="str">
        <x:v>2026-10-24</x:v>
      </x:c>
      <x:c r="AU628" s="9"/>
      <x:c r="AV628" s="9"/>
      <x:c r="AW628" s="9"/>
      <x:c r="AX628" s="9"/>
      <x:c r="AY628" s="9"/>
      <x:c r="AZ628" s="9"/>
      <x:c r="BA628" s="11" t="str">
        <x:f>HYPERLINK("https://www.mobygames.com/search/?q=Riven%3A+The+Sequel+to+Myst","MobyGames")</x:f>
        <x:v>MobyGames</x:v>
      </x:c>
      <x:c r="BB628" s="9" t="str">
        <x:v>85%</x:v>
      </x:c>
      <x:c r="BC628" s="9" t="str">
        <x:v>GameRankings, 10 reviews</x:v>
      </x:c>
      <x:c r="BD628" s="9" t="str">
        <x:f>HYPERLINK("https://web.archive.org/web/20191209012255id_/https://www.gamerankings.com/pc/36592-riven-the-sequel-to-myst/","Source")</x:f>
        <x:v>Source</x:v>
      </x:c>
      <x:c r="BE628" s="11" t="str">
        <x:f>HYPERLINK("https://en.wikipedia.org/wiki/Riven","Wikipedia")</x:f>
        <x:v>Wikipedia</x:v>
      </x:c>
      <x:c r="BF628" s="11" t="str">
        <x:f>HYPERLINK("https://backloggd.com/search/games/Riven%3A%20The%20Sequel%20to%20Myst/","Backloggd")</x:f>
        <x:v>Backloggd</x:v>
      </x:c>
      <x:c r="BG628" s="9"/>
      <x:c r="BH628" s="9"/>
      <x:c r="BI628" s="12" t="str">
        <x:v>No</x:v>
      </x:c>
      <x:c r="BJ628" s="12" t="str"/>
      <x:c r="BK628" s="12" t="str">
        <x:v>No</x:v>
      </x:c>
      <x:c r="BL628" s="12" t="str"/>
      <x:c r="BM628" s="12" t="str"/>
      <x:c r="BN628" s="12" t="str"/>
      <x:c r="BO628" s="12" t="str"/>
      <x:c r="BP628" s="12" t="str"/>
      <x:c r="BQ628" s="12" t="str"/>
    </x:row>
    <x:row r="629">
      <x:c r="A629" s="9" t="str">
        <x:v>pc-99</x:v>
      </x:c>
      <x:c r="B629" s="9" t="str">
        <x:v>obsidian</x:v>
      </x:c>
      <x:c r="C629" s="9" t="str">
        <x:v>PC</x:v>
      </x:c>
      <x:c r="D629" s="9" t="str">
        <x:v>Obsidian</x:v>
      </x:c>
      <x:c r="E629" s="9" t="str"/>
      <x:c r="F629" s="9" t="str">
        <x:v>Rocket Science Games</x:v>
      </x:c>
      <x:c r="G629" s="9" t="str">
        <x:v>SegaSoft</x:v>
      </x:c>
      <x:c r="H629" s="9" t="n">
        <x:v>1997</x:v>
      </x:c>
      <x:c r="I629" s="9" t="str">
        <x:v>Yes</x:v>
      </x:c>
      <x:c r="J629" s="9" t="str">
        <x:v>No</x:v>
      </x:c>
      <x:c r="K629" s="9" t="str">
        <x:v>Yes</x:v>
      </x:c>
      <x:c r="L629" s="9" t="str">
        <x:v>No</x:v>
      </x:c>
      <x:c r="M629" s="9" t="str">
        <x:v>First-person puzzle adventure</x:v>
      </x:c>
      <x:c r="N629" s="9" t="str">
        <x:v>Live-action + pre-rendered CG</x:v>
      </x:c>
      <x:c r="O629" s="9" t="n">
        <x:v>5</x:v>
      </x:c>
      <x:c r="P629" s="9" t="str">
        <x:v>FMV adventure</x:v>
      </x:c>
      <x:c r="Q629" s="9" t="str">
        <x:v>Released</x:v>
      </x:c>
      <x:c r="R629" s="9" t="str">
        <x:v>Original production</x:v>
      </x:c>
      <x:c r="S629" s="9" t="str">
        <x:v>Mac</x:v>
      </x:c>
      <x:c r="T629" s="9" t="str">
        <x:v>Unknown — verify (Lilah Kemp and Max Powers played by live actors)</x:v>
      </x:c>
      <x:c r="U629" s="9" t="n">
        <x:v>5</x:v>
      </x:c>
      <x:c r="V629" s="9" t="str">
        <x:v>Yes</x:v>
      </x:c>
      <x:c r="W629" s="9" t="str">
        <x:v>Pentium 90, 16 MB RAM, 4x CD-ROM, SVGA; Windows 95 (verify)</x:v>
      </x:c>
      <x:c r="X629" s="9" t="str">
        <x:v>Low</x:v>
      </x:c>
      <x:c r="Y629" s="9" t="str"/>
      <x:c r="Z629" s="9" t="str">
        <x:v>10–15 hr</x:v>
      </x:c>
      <x:c r="AA629" s="9" t="str">
        <x:v>A surreal Myst-like set inside a dreaming satellite's subconscious, with filmed bureaucrats and a Rube Goldberg robot world.</x:v>
      </x:c>
      <x:c r="AB629" s="9" t="str">
        <x:v>None known</x:v>
      </x:c>
      <x:c r="AC629" s="9" t="str">
        <x:v>Full-window QuickTime transitions and live-action dream sequences at 640x480, about 15 fps (verify)</x:v>
      </x:c>
      <x:c r="AD629" s="9" t="str">
        <x:v>Hard; abstract logic puzzles</x:v>
      </x:c>
      <x:c r="AE629" s="9" t="str">
        <x:v>Single ending</x:v>
      </x:c>
      <x:c r="AF629" s="9" t="str">
        <x:v>Rocket Science Games closed shortly after release; Obsidian was the studio's last game and its most praised.</x:v>
      </x:c>
      <x:c r="AG629" s="9" t="str">
        <x:v>5-CD big box (Win/Mac hybrid, verify)</x:v>
      </x:c>
      <x:c r="AH629" s="9" t="str">
        <x:v>Yes (Steam and ZOOM Platform; 2023 re-release)</x:v>
      </x:c>
      <x:c r="AI629" s="9" t="str">
        <x:v>Easy</x:v>
      </x:c>
      <x:c r="AJ629" s="9" t="str">
        <x:v>Steam re-release from Call Your Vegetables / ZOOM Platform Media; original discs also work in ScummVM.</x:v>
      </x:c>
      <x:c r="AK629" s="9" t="str">
        <x:v>Released Dec 1996 or Jan 1997 depending on source (verify).</x:v>
      </x:c>
      <x:c r="AL629" s="10" t="n">
        <x:v>9.46</x:v>
      </x:c>
      <x:c r="AM629" s="10" t="n">
        <x:v>25.48</x:v>
      </x:c>
      <x:c r="AN629" s="10" t="n">
        <x:v>33.97</x:v>
      </x:c>
      <x:c r="AO629" s="9" t="str">
        <x:v>2026-10-24</x:v>
      </x:c>
      <x:c r="AP629" s="11" t="str">
        <x:f>HYPERLINK("https://www.pricecharting.com/game/pc-games/obsidian","PriceCharting")</x:f>
        <x:v>PriceCharting</x:v>
      </x:c>
      <x:c r="AQ629" s="9" t="n">
        <x:v>9.99</x:v>
      </x:c>
      <x:c r="AR629" s="9" t="str">
        <x:v>Steam</x:v>
      </x:c>
      <x:c r="AS629" s="9" t="str">
        <x:f>HYPERLINK("https://store.steampowered.com/app/2471130/","Store")</x:f>
        <x:v>Store</x:v>
      </x:c>
      <x:c r="AT629" s="9" t="str">
        <x:v>2026-10-25</x:v>
      </x:c>
      <x:c r="AU629" s="9"/>
      <x:c r="AV629" s="9"/>
      <x:c r="AW629" s="9"/>
      <x:c r="AX629" s="9"/>
      <x:c r="AY629" s="9" t="str">
        <x:v>76%</x:v>
      </x:c>
      <x:c r="AZ629" s="9" t="str">
        <x:v>3.7</x:v>
      </x:c>
      <x:c r="BA629" s="11" t="str">
        <x:f>HYPERLINK("https://www.mobygames.com/game/windows/obsidian","MobyGames")</x:f>
        <x:v>MobyGames</x:v>
      </x:c>
      <x:c r="BB629" s="9"/>
      <x:c r="BC629" s="9"/>
      <x:c r="BD629" s="9"/>
      <x:c r="BE629" s="11" t="str">
        <x:f>HYPERLINK("https://en.wikipedia.org/wiki/Obsidian_(video_game)","Wikipedia")</x:f>
        <x:v>Wikipedia</x:v>
      </x:c>
      <x:c r="BF629" s="11" t="str">
        <x:f>HYPERLINK("https://backloggd.com/search/games/Obsidian/","Backloggd")</x:f>
        <x:v>Backloggd</x:v>
      </x:c>
      <x:c r="BG629" s="9"/>
      <x:c r="BH629" s="9"/>
      <x:c r="BI629" s="12" t="str">
        <x:v>No</x:v>
      </x:c>
      <x:c r="BJ629" s="12" t="str"/>
      <x:c r="BK629" s="12" t="str">
        <x:v>No</x:v>
      </x:c>
      <x:c r="BL629" s="12" t="str"/>
      <x:c r="BM629" s="12" t="str"/>
      <x:c r="BN629" s="12" t="str"/>
      <x:c r="BO629" s="12" t="str"/>
      <x:c r="BP629" s="12" t="str"/>
      <x:c r="BQ629" s="12" t="str"/>
    </x:row>
    <x:row r="630">
      <x:c r="A630" s="9" t="str">
        <x:v>pc-100</x:v>
      </x:c>
      <x:c r="B630" s="9" t="str">
        <x:v>zork-nemesis</x:v>
      </x:c>
      <x:c r="C630" s="9" t="str">
        <x:v>PC</x:v>
      </x:c>
      <x:c r="D630" s="9" t="str">
        <x:v>Zork Nemesis</x:v>
      </x:c>
      <x:c r="E630" s="9" t="str">
        <x:v>Zork Nemesis: The Forbidden Lands</x:v>
      </x:c>
      <x:c r="F630" s="9" t="str">
        <x:v>Zombie LLC (with Activision)</x:v>
      </x:c>
      <x:c r="G630" s="9" t="str">
        <x:v>Activision</x:v>
      </x:c>
      <x:c r="H630" s="9" t="n">
        <x:v>1996</x:v>
      </x:c>
      <x:c r="I630" s="9" t="str">
        <x:v>Yes</x:v>
      </x:c>
      <x:c r="J630" s="9" t="str">
        <x:v>No</x:v>
      </x:c>
      <x:c r="K630" s="9" t="str">
        <x:v>Yes</x:v>
      </x:c>
      <x:c r="L630" s="9" t="str">
        <x:v>No</x:v>
      </x:c>
      <x:c r="M630" s="9" t="str">
        <x:v>First-person puzzle adventure</x:v>
      </x:c>
      <x:c r="N630" s="9" t="str">
        <x:v>Live-action + pre-rendered CG</x:v>
      </x:c>
      <x:c r="O630" s="9" t="n">
        <x:v>5</x:v>
      </x:c>
      <x:c r="P630" s="9" t="str">
        <x:v>FMV adventure</x:v>
      </x:c>
      <x:c r="Q630" s="9" t="str">
        <x:v>Released</x:v>
      </x:c>
      <x:c r="R630" s="9" t="str">
        <x:v>Original production (Zork series)</x:v>
      </x:c>
      <x:c r="S630" s="9" t="str">
        <x:v>Mac</x:v>
      </x:c>
      <x:c r="T630" s="9" t="str">
        <x:v>Unknown — verify</x:v>
      </x:c>
      <x:c r="U630" s="9" t="n">
        <x:v>3</x:v>
      </x:c>
      <x:c r="V630" s="9" t="str">
        <x:v>Yes</x:v>
      </x:c>
      <x:c r="W630" s="9" t="str">
        <x:v>486DX2/66 (Pentium rec.), 8 MB RAM, 2x CD-ROM, SVGA; DOS &amp; Win95 (verify)</x:v>
      </x:c>
      <x:c r="X630" s="9" t="str">
        <x:v>Low</x:v>
      </x:c>
      <x:c r="Y630" s="9" t="str"/>
      <x:c r="Z630" s="9" t="str">
        <x:v>10–15 hr</x:v>
      </x:c>
      <x:c r="AA630" s="9" t="str">
        <x:v>Zork goes dark and gothic: alchemy, torture and ghostly filmed actors in Activision's 360-degree Z-Vision panoramas.</x:v>
      </x:c>
      <x:c r="AB630" s="9" t="str">
        <x:v>None known</x:v>
      </x:c>
      <x:c r="AC630" s="9" t="str">
        <x:v>Live-action actors composited into 640x480 panoramas, about 15 fps (verify)</x:v>
      </x:c>
      <x:c r="AD630" s="9" t="str">
        <x:v>Hard; alchemy and multi-step puzzles; you can die</x:v>
      </x:c>
      <x:c r="AE630" s="9" t="str">
        <x:v>Single good ending; death scenes along the way</x:v>
      </x:c>
      <x:c r="AF630" s="9" t="str">
        <x:v>First game on the Z-Vision panoramic engine, later reused in Zork: Grand Inquisitor.</x:v>
      </x:c>
      <x:c r="AG630" s="9" t="str">
        <x:v>3-CD big box; jewel-case reissues; Zork anthologies</x:v>
      </x:c>
      <x:c r="AH630" s="9" t="str">
        <x:v>Yes (GOG)</x:v>
      </x:c>
      <x:c r="AI630" s="9" t="str">
        <x:v>Easy</x:v>
      </x:c>
      <x:c r="AJ630" s="9" t="str">
        <x:v>GOG; original discs via ScummVM</x:v>
      </x:c>
      <x:c r="AK630" s="9" t="str"/>
      <x:c r="AL630" s="10" t="n">
        <x:v>2.93</x:v>
      </x:c>
      <x:c r="AM630" s="10" t="n">
        <x:v>15.36</x:v>
      </x:c>
      <x:c r="AN630" s="10" t="n">
        <x:v>35.57</x:v>
      </x:c>
      <x:c r="AO630" s="9" t="str">
        <x:v>2026-10-24</x:v>
      </x:c>
      <x:c r="AP630" s="11" t="str">
        <x:f>HYPERLINK("https://www.pricecharting.com/game/pc-games/zork-nemesis","PriceCharting")</x:f>
        <x:v>PriceCharting</x:v>
      </x:c>
      <x:c r="AQ630" s="9" t="n">
        <x:v>5.99</x:v>
      </x:c>
      <x:c r="AR630" s="11" t="str">
        <x:v>Steam</x:v>
      </x:c>
      <x:c r="AS630" s="9" t="str">
        <x:f>HYPERLINK("https://store.steampowered.com/app/571060/","Store")</x:f>
        <x:v>Store</x:v>
      </x:c>
      <x:c r="AT630" s="9" t="str">
        <x:v>2026-10-24</x:v>
      </x:c>
      <x:c r="AU630" s="9"/>
      <x:c r="AV630" s="9"/>
      <x:c r="AW630" s="9"/>
      <x:c r="AX630" s="9"/>
      <x:c r="AY630" s="9"/>
      <x:c r="AZ630" s="9"/>
      <x:c r="BA630" s="11" t="str">
        <x:f>HYPERLINK("https://www.mobygames.com/search/?q=Zork+Nemesis","MobyGames")</x:f>
        <x:v>MobyGames</x:v>
      </x:c>
      <x:c r="BB630" s="9" t="str">
        <x:v>82%</x:v>
      </x:c>
      <x:c r="BC630" s="9" t="str">
        <x:v>GameRankings, 9 reviews</x:v>
      </x:c>
      <x:c r="BD630" s="9" t="str">
        <x:f>HYPERLINK("https://web.archive.org/web/20191209015351id_/https://www.gamerankings.com/pc/199405-zork-nemesis/","Source")</x:f>
        <x:v>Source</x:v>
      </x:c>
      <x:c r="BE630" s="11" t="str">
        <x:f>HYPERLINK("https://en.wikipedia.org/wiki/Zork_Nemesis","Wikipedia")</x:f>
        <x:v>Wikipedia</x:v>
      </x:c>
      <x:c r="BF630" s="11" t="str">
        <x:f>HYPERLINK("https://backloggd.com/search/games/Zork%20Nemesis/","Backloggd")</x:f>
        <x:v>Backloggd</x:v>
      </x:c>
      <x:c r="BG630" s="9"/>
      <x:c r="BH630" s="9"/>
      <x:c r="BI630" s="12" t="str">
        <x:v>No</x:v>
      </x:c>
      <x:c r="BJ630" s="12" t="str"/>
      <x:c r="BK630" s="12" t="str">
        <x:v>No</x:v>
      </x:c>
      <x:c r="BL630" s="12" t="str"/>
      <x:c r="BM630" s="12" t="str"/>
      <x:c r="BN630" s="12" t="str"/>
      <x:c r="BO630" s="12" t="str"/>
      <x:c r="BP630" s="12" t="str"/>
      <x:c r="BQ630" s="12" t="str"/>
    </x:row>
    <x:row r="631">
      <x:c r="A631" s="9" t="str">
        <x:v>pc-101</x:v>
      </x:c>
      <x:c r="B631" s="9" t="str">
        <x:v>zork-grand-inquisitor</x:v>
      </x:c>
      <x:c r="C631" s="9" t="str">
        <x:v>PC</x:v>
      </x:c>
      <x:c r="D631" s="9" t="str">
        <x:v>Zork: Grand Inquisitor</x:v>
      </x:c>
      <x:c r="E631" s="9" t="str"/>
      <x:c r="F631" s="9" t="str">
        <x:v>Activision</x:v>
      </x:c>
      <x:c r="G631" s="9" t="str">
        <x:v>Activision</x:v>
      </x:c>
      <x:c r="H631" s="9" t="n">
        <x:v>1997</x:v>
      </x:c>
      <x:c r="I631" s="9" t="str">
        <x:v>Yes</x:v>
      </x:c>
      <x:c r="J631" s="9" t="str">
        <x:v>No</x:v>
      </x:c>
      <x:c r="K631" s="9" t="str">
        <x:v>Yes</x:v>
      </x:c>
      <x:c r="L631" s="9" t="str">
        <x:v>No</x:v>
      </x:c>
      <x:c r="M631" s="9" t="str">
        <x:v>First-person comedy adventure</x:v>
      </x:c>
      <x:c r="N631" s="9" t="str">
        <x:v>Live-action + pre-rendered CG</x:v>
      </x:c>
      <x:c r="O631" s="9" t="n">
        <x:v>4</x:v>
      </x:c>
      <x:c r="P631" s="9" t="str">
        <x:v>FMV adventure</x:v>
      </x:c>
      <x:c r="Q631" s="9" t="str">
        <x:v>Released</x:v>
      </x:c>
      <x:c r="R631" s="9" t="str">
        <x:v>Original production (Zork series)</x:v>
      </x:c>
      <x:c r="S631" s="9" t="str">
        <x:v>Mac</x:v>
      </x:c>
      <x:c r="T631" s="9" t="str">
        <x:v>Dirk Benedict (Antharia Jack), Michael McKean (Dalboz, voice), Erick Avari (Mir Yannick), Jordana Capra (Y'Gael), Amy D. Jacobson (Lucy Flathead), Marty Ingels (Griff, voice), Earl Boen (Brog, voice), David Lander, Rip Taylor</x:v>
      </x:c>
      <x:c r="U631" s="9" t="n">
        <x:v>2</x:v>
      </x:c>
      <x:c r="V631" s="9" t="str">
        <x:v>Yes</x:v>
      </x:c>
      <x:c r="W631" s="9" t="str">
        <x:v>Pentium 90, 16 MB RAM, 4x CD-ROM, SVGA; Windows 95 (verify)</x:v>
      </x:c>
      <x:c r="X631" s="9" t="str">
        <x:v>Low</x:v>
      </x:c>
      <x:c r="Y631" s="9" t="str"/>
      <x:c r="Z631" s="9" t="str">
        <x:v>8–12 hr</x:v>
      </x:c>
      <x:c r="AA631" s="9" t="str">
        <x:v>Dirk Benedict hams it up as a has-been TV star in the funniest Zork, with filmed ghosts popping out of Z-Vision panoramas.</x:v>
      </x:c>
      <x:c r="AB631" s="9" t="str">
        <x:v>None known</x:v>
      </x:c>
      <x:c r="AC631" s="9" t="str">
        <x:v>Translucent live-action 'ghost' clips over 640x480 panoramas, about 15 fps (verify)</x:v>
      </x:c>
      <x:c r="AD631" s="9" t="str">
        <x:v>Moderate; classic inventory puzzles, scoring out of 1000</x:v>
      </x:c>
      <x:c r="AE631" s="9" t="str">
        <x:v>Single ending</x:v>
      </x:c>
      <x:c r="AF631" s="9" t="str">
        <x:v>Built on the Z-Vision engine from Zork Nemesis but steered back to the series' comic tone.</x:v>
      </x:c>
      <x:c r="AG631" s="9" t="str">
        <x:v>2-CD big box; jewel-case reissues; Zork Special Edition bundles</x:v>
      </x:c>
      <x:c r="AH631" s="9" t="str">
        <x:v>Yes (GOG)</x:v>
      </x:c>
      <x:c r="AI631" s="9" t="str">
        <x:v>Easy</x:v>
      </x:c>
      <x:c r="AJ631" s="9" t="str">
        <x:v>GOG; original discs via ScummVM</x:v>
      </x:c>
      <x:c r="AK631" s="9" t="str">
        <x:v>Cast list partly unconfirmed (verify).</x:v>
      </x:c>
      <x:c r="AL631" s="10" t="n">
        <x:v>4.24</x:v>
      </x:c>
      <x:c r="AM631" s="10" t="n">
        <x:v>12.35</x:v>
      </x:c>
      <x:c r="AN631" s="10" t="n">
        <x:v>34.97</x:v>
      </x:c>
      <x:c r="AO631" s="9" t="str">
        <x:v>2026-10-24</x:v>
      </x:c>
      <x:c r="AP631" s="11" t="str">
        <x:f>HYPERLINK("https://www.pricecharting.com/game/pc-games/zork-grand-inquisitor","PriceCharting")</x:f>
        <x:v>PriceCharting</x:v>
      </x:c>
      <x:c r="AQ631" s="9" t="n">
        <x:v>5.99</x:v>
      </x:c>
      <x:c r="AR631" s="11" t="str">
        <x:v>Steam</x:v>
      </x:c>
      <x:c r="AS631" s="9" t="str">
        <x:f>HYPERLINK("https://store.steampowered.com/app/570680/","Store")</x:f>
        <x:v>Store</x:v>
      </x:c>
      <x:c r="AT631" s="9" t="str">
        <x:v>2026-10-24</x:v>
      </x:c>
      <x:c r="AU631" s="9"/>
      <x:c r="AV631" s="9"/>
      <x:c r="AW631" s="9"/>
      <x:c r="AX631" s="9"/>
      <x:c r="AY631" s="9"/>
      <x:c r="AZ631" s="9"/>
      <x:c r="BA631" s="11" t="str">
        <x:f>HYPERLINK("https://www.mobygames.com/search/?q=Zork%3A+Grand+Inquisitor","MobyGames")</x:f>
        <x:v>MobyGames</x:v>
      </x:c>
      <x:c r="BB631" s="9" t="str">
        <x:v>72%</x:v>
      </x:c>
      <x:c r="BC631" s="9" t="str">
        <x:v>GameRankings, 10 reviews</x:v>
      </x:c>
      <x:c r="BD631" s="9" t="str">
        <x:f>HYPERLINK("https://web.archive.org/web/20191209011653id_/https://www.gamerankings.com/pc/43322-zork-grand-inquisitor/","Source")</x:f>
        <x:v>Source</x:v>
      </x:c>
      <x:c r="BE631" s="11" t="str">
        <x:f>HYPERLINK("https://en.wikipedia.org/wiki/Zork:_Grand_Inquisitor","Wikipedia")</x:f>
        <x:v>Wikipedia</x:v>
      </x:c>
      <x:c r="BF631" s="11" t="str">
        <x:f>HYPERLINK("https://backloggd.com/search/games/Zork%3A%20Grand%20Inquisitor/","Backloggd")</x:f>
        <x:v>Backloggd</x:v>
      </x:c>
      <x:c r="BG631" s="9"/>
      <x:c r="BH631" s="9"/>
      <x:c r="BI631" s="12" t="str">
        <x:v>No</x:v>
      </x:c>
      <x:c r="BJ631" s="12" t="str"/>
      <x:c r="BK631" s="12" t="str">
        <x:v>No</x:v>
      </x:c>
      <x:c r="BL631" s="12" t="str"/>
      <x:c r="BM631" s="12" t="str"/>
      <x:c r="BN631" s="12" t="str"/>
      <x:c r="BO631" s="12" t="str"/>
      <x:c r="BP631" s="12" t="str"/>
      <x:c r="BQ631" s="12" t="str"/>
    </x:row>
    <x:row r="632">
      <x:c r="A632" s="9" t="str">
        <x:v>pc-102</x:v>
      </x:c>
      <x:c r="B632" s="9" t="str">
        <x:v>return-to-zork</x:v>
      </x:c>
      <x:c r="C632" s="9" t="str">
        <x:v>PC</x:v>
      </x:c>
      <x:c r="D632" s="9" t="str">
        <x:v>Return to Zork</x:v>
      </x:c>
      <x:c r="E632" s="9" t="str"/>
      <x:c r="F632" s="9" t="str">
        <x:v>Activision</x:v>
      </x:c>
      <x:c r="G632" s="9" t="str">
        <x:v>Activision</x:v>
      </x:c>
      <x:c r="H632" s="9" t="n">
        <x:v>1993</x:v>
      </x:c>
      <x:c r="I632" s="9" t="str">
        <x:v>Yes</x:v>
      </x:c>
      <x:c r="J632" s="9" t="str">
        <x:v>No</x:v>
      </x:c>
      <x:c r="K632" s="9" t="str">
        <x:v>Yes</x:v>
      </x:c>
      <x:c r="L632" s="9" t="str">
        <x:v>No</x:v>
      </x:c>
      <x:c r="M632" s="9" t="str">
        <x:v>Graphic adventure</x:v>
      </x:c>
      <x:c r="N632" s="9" t="str">
        <x:v>Live-action + pre-rendered CG</x:v>
      </x:c>
      <x:c r="O632" s="9" t="n">
        <x:v>4</x:v>
      </x:c>
      <x:c r="P632" s="9" t="str">
        <x:v>FMV adventure</x:v>
      </x:c>
      <x:c r="Q632" s="9" t="str">
        <x:v>Released</x:v>
      </x:c>
      <x:c r="R632" s="9" t="str">
        <x:v>Original production (Zork series)</x:v>
      </x:c>
      <x:c r="S632" s="9" t="str">
        <x:v>Mac, PlayStation (JP), Saturn (JP), FM Towns</x:v>
      </x:c>
      <x:c r="T632" s="9" t="str">
        <x:v>Robyn Lively (The Fairy), Jason Hervey (Troll King), Sam J. Jones (Blind Bowman), A.J. Langer (Rebecca Snoot)</x:v>
      </x:c>
      <x:c r="U632" s="9" t="n">
        <x:v>1</x:v>
      </x:c>
      <x:c r="V632" s="9" t="str">
        <x:v>Yes</x:v>
      </x:c>
      <x:c r="W632" s="9" t="str">
        <x:v>386/33, 4 MB RAM, CD-ROM, VGA; DOS (verify)</x:v>
      </x:c>
      <x:c r="X632" s="9" t="str">
        <x:v>Low</x:v>
      </x:c>
      <x:c r="Y632" s="9" t="str"/>
      <x:c r="Z632" s="9" t="str">
        <x:v>8–12 hr</x:v>
      </x:c>
      <x:c r="AA632" s="9" t="str">
        <x:v>Home of the meme 'Want some rye? Course ya do!': cheesy filmed townsfolk in the first Zork with pictures.</x:v>
      </x:c>
      <x:c r="AB632" s="9" t="str">
        <x:v>None known</x:v>
      </x:c>
      <x:c r="AC632" s="9" t="str">
        <x:v>Small live-action character windows over 320x200 VGA scenes (verify)</x:v>
      </x:c>
      <x:c r="AD632" s="9" t="str">
        <x:v>Hard; easy to lock yourself out of winning</x:v>
      </x:c>
      <x:c r="AE632" s="9" t="str">
        <x:v>Single ending; dead ends possible</x:v>
      </x:c>
      <x:c r="AF632" s="9" t="str">
        <x:v>One of the first CD-ROM games to use filmed actors heavily; a floppy version shipped with far less video.</x:v>
      </x:c>
      <x:c r="AG632" s="9" t="str">
        <x:v>CD-ROM and floppy editions; Zork anthology bundles</x:v>
      </x:c>
      <x:c r="AH632" s="9" t="str">
        <x:v>Yes (GOG and Steam, DOS version)</x:v>
      </x:c>
      <x:c r="AI632" s="9" t="str">
        <x:v>Easy</x:v>
      </x:c>
      <x:c r="AJ632" s="9" t="str">
        <x:v>GOG or Steam (DOSBox bundled); original CD through ScummVM.</x:v>
      </x:c>
      <x:c r="AK632" s="9" t="str">
        <x:v>Cast unconfirmed; do not use the names above without checking.</x:v>
      </x:c>
      <x:c r="AL632" s="10" t="n">
        <x:v>3.86</x:v>
      </x:c>
      <x:c r="AM632" s="10" t="n">
        <x:v>19.69</x:v>
      </x:c>
      <x:c r="AN632" s="10" t="n">
        <x:v>28.27</x:v>
      </x:c>
      <x:c r="AO632" s="9" t="str">
        <x:v>2026-10-24</x:v>
      </x:c>
      <x:c r="AP632" s="11" t="str">
        <x:f>HYPERLINK("https://www.pricecharting.com/game/pc-games/return-to-zork","PriceCharting")</x:f>
        <x:v>PriceCharting</x:v>
      </x:c>
      <x:c r="AQ632" s="9" t="n">
        <x:v>5.99</x:v>
      </x:c>
      <x:c r="AR632" s="11" t="str">
        <x:v>GOG</x:v>
      </x:c>
      <x:c r="AS632" s="9" t="str">
        <x:f>HYPERLINK("https://www.gog.com/en/game/return_to_zork","Store")</x:f>
        <x:v>Store</x:v>
      </x:c>
      <x:c r="AT632" s="9" t="str">
        <x:v>2026-10-25</x:v>
      </x:c>
      <x:c r="AU632" s="9"/>
      <x:c r="AV632" s="9"/>
      <x:c r="AW632" s="9"/>
      <x:c r="AX632" s="9"/>
      <x:c r="AY632" s="9" t="str">
        <x:v>77%</x:v>
      </x:c>
      <x:c r="AZ632" s="9" t="str">
        <x:v>3.4</x:v>
      </x:c>
      <x:c r="BA632" s="11" t="str">
        <x:f>HYPERLINK("https://www.mobygames.com/game/dos/return-to-zork","MobyGames")</x:f>
        <x:v>MobyGames</x:v>
      </x:c>
      <x:c r="BB632" s="9"/>
      <x:c r="BC632" s="9"/>
      <x:c r="BD632" s="9"/>
      <x:c r="BE632" s="11" t="str">
        <x:f>HYPERLINK("https://en.wikipedia.org/wiki/Return_to_Zork","Wikipedia")</x:f>
        <x:v>Wikipedia</x:v>
      </x:c>
      <x:c r="BF632" s="11" t="str">
        <x:f>HYPERLINK("https://backloggd.com/search/games/Return%20to%20Zork/","Backloggd")</x:f>
        <x:v>Backloggd</x:v>
      </x:c>
      <x:c r="BG632" s="9"/>
      <x:c r="BH632" s="9"/>
      <x:c r="BI632" s="12" t="str">
        <x:v>No</x:v>
      </x:c>
      <x:c r="BJ632" s="12" t="str"/>
      <x:c r="BK632" s="12" t="str">
        <x:v>No</x:v>
      </x:c>
      <x:c r="BL632" s="12" t="str"/>
      <x:c r="BM632" s="12" t="str"/>
      <x:c r="BN632" s="12" t="str"/>
      <x:c r="BO632" s="12" t="str"/>
      <x:c r="BP632" s="12" t="str"/>
      <x:c r="BQ632" s="12" t="str"/>
    </x:row>
    <x:row r="633">
      <x:c r="A633" s="9" t="str">
        <x:v>pc-103</x:v>
      </x:c>
      <x:c r="B633" s="9" t="str">
        <x:v>shivers</x:v>
      </x:c>
      <x:c r="C633" s="9" t="str">
        <x:v>PC</x:v>
      </x:c>
      <x:c r="D633" s="9" t="str">
        <x:v>Shivers</x:v>
      </x:c>
      <x:c r="E633" s="9" t="str"/>
      <x:c r="F633" s="9" t="str">
        <x:v>Sierra On-Line</x:v>
      </x:c>
      <x:c r="G633" s="9" t="str">
        <x:v>Sierra On-Line</x:v>
      </x:c>
      <x:c r="H633" s="9" t="n">
        <x:v>1995</x:v>
      </x:c>
      <x:c r="I633" s="9" t="str">
        <x:v>Yes</x:v>
      </x:c>
      <x:c r="J633" s="9" t="str">
        <x:v>No</x:v>
      </x:c>
      <x:c r="K633" s="9" t="str">
        <x:v>Yes</x:v>
      </x:c>
      <x:c r="L633" s="9" t="str">
        <x:v>No</x:v>
      </x:c>
      <x:c r="M633" s="9" t="str">
        <x:v>First-person horror puzzle adventure</x:v>
      </x:c>
      <x:c r="N633" s="9" t="str">
        <x:v>Live-action + pre-rendered CG</x:v>
      </x:c>
      <x:c r="O633" s="9" t="n">
        <x:v>4</x:v>
      </x:c>
      <x:c r="P633" s="9" t="str">
        <x:v>FMV adventure</x:v>
      </x:c>
      <x:c r="Q633" s="9" t="str">
        <x:v>Released</x:v>
      </x:c>
      <x:c r="R633" s="9" t="str">
        <x:v>Original production</x:v>
      </x:c>
      <x:c r="S633" s="9" t="str">
        <x:v>—</x:v>
      </x:c>
      <x:c r="T633" s="9" t="str">
        <x:v>Unknown — verify</x:v>
      </x:c>
      <x:c r="U633" s="9" t="n">
        <x:v>1</x:v>
      </x:c>
      <x:c r="V633" s="9" t="str">
        <x:v>Yes</x:v>
      </x:c>
      <x:c r="W633" s="9" t="str">
        <x:v>486DX/33, 8 MB RAM, 2x CD-ROM, SVGA; Windows 3.1/95</x:v>
      </x:c>
      <x:c r="X633" s="9" t="str">
        <x:v>Low</x:v>
      </x:c>
      <x:c r="Y633" s="9" t="str"/>
      <x:c r="Z633" s="9" t="str">
        <x:v>6–10 hr</x:v>
      </x:c>
      <x:c r="AA633" s="9" t="str">
        <x:v>A night locked in Professor Windlenot's haunted museum, trapping soul-draining Ixupi in pots while filmed ghosts tell you how they died.</x:v>
      </x:c>
      <x:c r="AB633" s="9" t="str">
        <x:v>None known</x:v>
      </x:c>
      <x:c r="AC633" s="9" t="str">
        <x:v>Small live-action clips over 640x360 rendered scenes (verify)</x:v>
      </x:c>
      <x:c r="AD633" s="9" t="str">
        <x:v>Moderate; puzzle boxes randomise each game</x:v>
      </x:c>
      <x:c r="AE633" s="9" t="str">
        <x:v>Single ending</x:v>
      </x:c>
      <x:c r="AF633" s="9" t="str">
        <x:v>Sierra's Myst answer, built by a small team with Sierra's in-house video studio.</x:v>
      </x:c>
      <x:c r="AG633" s="9" t="str">
        <x:v>Big box and jewel case reissues</x:v>
      </x:c>
      <x:c r="AH633" s="9" t="str">
        <x:v>Yes (GOG)</x:v>
      </x:c>
      <x:c r="AI633" s="9" t="str">
        <x:v>Easy</x:v>
      </x:c>
      <x:c r="AJ633" s="9" t="str">
        <x:v>GOG; original disc via ScummVM</x:v>
      </x:c>
      <x:c r="AK633" s="9" t="str">
        <x:v>Video is short clips; fmv borderline (verify keep).</x:v>
      </x:c>
      <x:c r="AL633" s="10" t="n">
        <x:v>5.59</x:v>
      </x:c>
      <x:c r="AM633" s="10" t="n">
        <x:v>13.62</x:v>
      </x:c>
      <x:c r="AN633" s="10" t="n">
        <x:v>27.75</x:v>
      </x:c>
      <x:c r="AO633" s="9" t="str">
        <x:v>2026-10-24</x:v>
      </x:c>
      <x:c r="AP633" s="11" t="str">
        <x:f>HYPERLINK("https://www.pricecharting.com/game/pc-games/shivers","PriceCharting")</x:f>
        <x:v>PriceCharting</x:v>
      </x:c>
      <x:c r="AQ633" s="9" t="n">
        <x:v>5.99</x:v>
      </x:c>
      <x:c r="AR633" s="11" t="str">
        <x:v>GOG</x:v>
      </x:c>
      <x:c r="AS633" s="9" t="str">
        <x:f>HYPERLINK("https://www.gog.com/en/game/shivers","Store")</x:f>
        <x:v>Store</x:v>
      </x:c>
      <x:c r="AT633" s="9" t="str">
        <x:v>2026-10-24</x:v>
      </x:c>
      <x:c r="AU633" s="9"/>
      <x:c r="AV633" s="9"/>
      <x:c r="AW633" s="9"/>
      <x:c r="AX633" s="9"/>
      <x:c r="AY633" s="9" t="str">
        <x:v>69%</x:v>
      </x:c>
      <x:c r="AZ633" s="9" t="str">
        <x:v>3.7</x:v>
      </x:c>
      <x:c r="BA633" s="11" t="str">
        <x:f>HYPERLINK("https://www.mobygames.com/game/windows/shivers","MobyGames")</x:f>
        <x:v>MobyGames</x:v>
      </x:c>
      <x:c r="BB633" s="9"/>
      <x:c r="BC633" s="9"/>
      <x:c r="BD633" s="9"/>
      <x:c r="BE633" s="11" t="str">
        <x:f>HYPERLINK("https://en.wikipedia.org/wiki/Shivers_(video_game)","Wikipedia")</x:f>
        <x:v>Wikipedia</x:v>
      </x:c>
      <x:c r="BF633" s="11" t="str">
        <x:f>HYPERLINK("https://backloggd.com/search/games/Shivers/","Backloggd")</x:f>
        <x:v>Backloggd</x:v>
      </x:c>
      <x:c r="BG633" s="9"/>
      <x:c r="BH633" s="9"/>
      <x:c r="BI633" s="12" t="str">
        <x:v>No</x:v>
      </x:c>
      <x:c r="BJ633" s="12" t="str"/>
      <x:c r="BK633" s="12" t="str">
        <x:v>No</x:v>
      </x:c>
      <x:c r="BL633" s="12" t="str"/>
      <x:c r="BM633" s="12" t="str"/>
      <x:c r="BN633" s="12" t="str"/>
      <x:c r="BO633" s="12" t="str"/>
      <x:c r="BP633" s="12" t="str"/>
      <x:c r="BQ633" s="12" t="str"/>
    </x:row>
    <x:row r="634">
      <x:c r="A634" s="9" t="str">
        <x:v>pc-104</x:v>
      </x:c>
      <x:c r="B634" s="9" t="str">
        <x:v>shivers-two-harvest-of-souls</x:v>
      </x:c>
      <x:c r="C634" s="9" t="str">
        <x:v>PC</x:v>
      </x:c>
      <x:c r="D634" s="9" t="str">
        <x:v>Shivers Two: Harvest of Souls</x:v>
      </x:c>
      <x:c r="E634" s="9" t="str"/>
      <x:c r="F634" s="9" t="str">
        <x:v>Sierra On-Line</x:v>
      </x:c>
      <x:c r="G634" s="9" t="str">
        <x:v>Sierra On-Line</x:v>
      </x:c>
      <x:c r="H634" s="9" t="n">
        <x:v>1997</x:v>
      </x:c>
      <x:c r="I634" s="9" t="str">
        <x:v>Yes</x:v>
      </x:c>
      <x:c r="J634" s="9" t="str">
        <x:v>No</x:v>
      </x:c>
      <x:c r="K634" s="9" t="str">
        <x:v>Yes</x:v>
      </x:c>
      <x:c r="L634" s="9" t="str">
        <x:v>No</x:v>
      </x:c>
      <x:c r="M634" s="9" t="str">
        <x:v>First-person horror puzzle adventure</x:v>
      </x:c>
      <x:c r="N634" s="9" t="str">
        <x:v>Live-action + pre-rendered CG</x:v>
      </x:c>
      <x:c r="O634" s="9" t="n">
        <x:v>4</x:v>
      </x:c>
      <x:c r="P634" s="9" t="str">
        <x:v>FMV adventure</x:v>
      </x:c>
      <x:c r="Q634" s="9" t="str">
        <x:v>Released</x:v>
      </x:c>
      <x:c r="R634" s="9" t="str">
        <x:v>Original production (sequel to Shivers)</x:v>
      </x:c>
      <x:c r="S634" s="9" t="str">
        <x:v>—</x:v>
      </x:c>
      <x:c r="T634" s="9" t="str">
        <x:v>Unknown — verify</x:v>
      </x:c>
      <x:c r="U634" s="9" t="n">
        <x:v>2</x:v>
      </x:c>
      <x:c r="V634" s="9" t="str">
        <x:v>Yes</x:v>
      </x:c>
      <x:c r="W634" s="9" t="str">
        <x:v>Pentium 90, 16 MB RAM, 4x CD-ROM, SVGA; Windows 95 (verify)</x:v>
      </x:c>
      <x:c r="X634" s="9" t="str">
        <x:v>Med</x:v>
      </x:c>
      <x:c r="Y634" s="9" t="str">
        <x:v>In-game rock music videos by a real band (verify)</x:v>
      </x:c>
      <x:c r="Z634" s="9" t="str">
        <x:v>8–12 hr</x:v>
      </x:c>
      <x:c r="AA634" s="9" t="str">
        <x:v>A desert ghost town in Arizona, a missing rock band and its music videos, and Native American spirit lore.</x:v>
      </x:c>
      <x:c r="AB634" s="9" t="str">
        <x:v>None known</x:v>
      </x:c>
      <x:c r="AC634" s="9" t="str">
        <x:v>Live-action clips and music videos over rendered scenes (verify size/fps)</x:v>
      </x:c>
      <x:c r="AD634" s="9" t="str">
        <x:v>Moderate to hard</x:v>
      </x:c>
      <x:c r="AE634" s="9" t="str">
        <x:v>Single ending (verify)</x:v>
      </x:c>
      <x:c r="AF634" s="9" t="str">
        <x:v>Built in Sierra's 3D-panorama style rather than the original's slideshow; music videos play on in-game screens (verify).</x:v>
      </x:c>
      <x:c r="AG634" s="9" t="str">
        <x:v>Big box; jewel case reissue</x:v>
      </x:c>
      <x:c r="AH634" s="9" t="str">
        <x:v>Yes (GOG)</x:v>
      </x:c>
      <x:c r="AI634" s="9" t="str">
        <x:v>Easy</x:v>
      </x:c>
      <x:c r="AJ634" s="9" t="str">
        <x:v>GOG; original discs in 86Box/PCem</x:v>
      </x:c>
      <x:c r="AK634" s="9" t="str">
        <x:v>Disc count and band identity need checking.</x:v>
      </x:c>
      <x:c r="AL634" s="10" t="n">
        <x:v>7.92</x:v>
      </x:c>
      <x:c r="AM634" s="10" t="n">
        <x:v>13.27</x:v>
      </x:c>
      <x:c r="AN634" s="10" t="n">
        <x:v>26.99</x:v>
      </x:c>
      <x:c r="AO634" s="9" t="str">
        <x:v>2026-10-24</x:v>
      </x:c>
      <x:c r="AP634" s="11" t="str">
        <x:f>HYPERLINK("https://www.pricecharting.com/game/pc-games/shivers-two-harvest-of-souls","PriceCharting")</x:f>
        <x:v>PriceCharting</x:v>
      </x:c>
      <x:c r="AQ634" s="9" t="n">
        <x:v>5.99</x:v>
      </x:c>
      <x:c r="AR634" s="11" t="str">
        <x:v>GOG</x:v>
      </x:c>
      <x:c r="AS634" s="9" t="str">
        <x:f>HYPERLINK("https://www.gog.com/en/game/shivers_ii_harvest_of_souls","Store")</x:f>
        <x:v>Store</x:v>
      </x:c>
      <x:c r="AT634" s="9" t="str">
        <x:v>2026-10-24</x:v>
      </x:c>
      <x:c r="AU634" s="9"/>
      <x:c r="AV634" s="9"/>
      <x:c r="AW634" s="9"/>
      <x:c r="AX634" s="9"/>
      <x:c r="AY634" s="9" t="str">
        <x:v>72%</x:v>
      </x:c>
      <x:c r="AZ634" s="9" t="str">
        <x:v>3.4</x:v>
      </x:c>
      <x:c r="BA634" s="11" t="str">
        <x:f>HYPERLINK("https://www.mobygames.com/game/windows/shivers-two-harvest-of-souls","MobyGames")</x:f>
        <x:v>MobyGames</x:v>
      </x:c>
      <x:c r="BB634" s="9"/>
      <x:c r="BC634" s="9"/>
      <x:c r="BD634" s="9"/>
      <x:c r="BE634" s="11" t="str">
        <x:f>HYPERLINK("https://en.wikipedia.org/wiki/Shivers_Two:_Harvest_of_Souls","Wikipedia")</x:f>
        <x:v>Wikipedia</x:v>
      </x:c>
      <x:c r="BF634" s="11" t="str">
        <x:f>HYPERLINK("https://backloggd.com/search/games/Shivers%20Two%3A%20Harvest%20of%20Souls/","Backloggd")</x:f>
        <x:v>Backloggd</x:v>
      </x:c>
      <x:c r="BG634" s="9"/>
      <x:c r="BH634" s="9"/>
      <x:c r="BI634" s="12" t="str">
        <x:v>No</x:v>
      </x:c>
      <x:c r="BJ634" s="12" t="str"/>
      <x:c r="BK634" s="12" t="str">
        <x:v>No</x:v>
      </x:c>
      <x:c r="BL634" s="12" t="str"/>
      <x:c r="BM634" s="12" t="str"/>
      <x:c r="BN634" s="12" t="str"/>
      <x:c r="BO634" s="12" t="str"/>
      <x:c r="BP634" s="12" t="str"/>
      <x:c r="BQ634" s="12" t="str"/>
    </x:row>
    <x:row r="635">
      <x:c r="A635" s="9" t="str">
        <x:v>pc-105</x:v>
      </x:c>
      <x:c r="B635" s="9" t="str">
        <x:v>lighthouse-the-dark-being</x:v>
      </x:c>
      <x:c r="C635" s="9" t="str">
        <x:v>PC</x:v>
      </x:c>
      <x:c r="D635" s="9" t="str">
        <x:v>Lighthouse: The Dark Being</x:v>
      </x:c>
      <x:c r="E635" s="9" t="str"/>
      <x:c r="F635" s="9" t="str">
        <x:v>Sierra On-Line</x:v>
      </x:c>
      <x:c r="G635" s="9" t="str">
        <x:v>Sierra On-Line</x:v>
      </x:c>
      <x:c r="H635" s="9" t="n">
        <x:v>1996</x:v>
      </x:c>
      <x:c r="I635" s="9" t="str">
        <x:v>Yes</x:v>
      </x:c>
      <x:c r="J635" s="9" t="str">
        <x:v>No</x:v>
      </x:c>
      <x:c r="K635" s="9" t="str">
        <x:v>Yes</x:v>
      </x:c>
      <x:c r="L635" s="9" t="str">
        <x:v>No</x:v>
      </x:c>
      <x:c r="M635" s="9" t="str">
        <x:v>First-person puzzle adventure</x:v>
      </x:c>
      <x:c r="N635" s="9" t="str">
        <x:v>Live-action + pre-rendered CG</x:v>
      </x:c>
      <x:c r="O635" s="9" t="n">
        <x:v>4</x:v>
      </x:c>
      <x:c r="P635" s="9" t="str">
        <x:v>FMV adventure</x:v>
      </x:c>
      <x:c r="Q635" s="9" t="str">
        <x:v>Released</x:v>
      </x:c>
      <x:c r="R635" s="9" t="str">
        <x:v>Original production</x:v>
      </x:c>
      <x:c r="S635" s="9" t="str">
        <x:v>Mac</x:v>
      </x:c>
      <x:c r="T635" s="9" t="str">
        <x:v>Unknown — verify</x:v>
      </x:c>
      <x:c r="U635" s="9" t="n">
        <x:v>2</x:v>
      </x:c>
      <x:c r="V635" s="9" t="str">
        <x:v>Yes</x:v>
      </x:c>
      <x:c r="W635" s="9" t="str">
        <x:v>486DX2/66, 8 MB RAM, 2x CD-ROM, SVGA; Win 3.1/95 (verify)</x:v>
      </x:c>
      <x:c r="X635" s="9" t="str">
        <x:v>Low</x:v>
      </x:c>
      <x:c r="Y635" s="9" t="str"/>
      <x:c r="Z635" s="9" t="str">
        <x:v>10–15 hr</x:v>
      </x:c>
      <x:c r="AA635" s="9" t="str">
        <x:v>A scientist's baby is snatched through a portal in an Oregon lighthouse, and you follow into a steampunk world in Sierra's sprawling Myst rival.</x:v>
      </x:c>
      <x:c r="AB635" s="9" t="str">
        <x:v>None known</x:v>
      </x:c>
      <x:c r="AC635" s="9" t="str">
        <x:v>Live-action opening and character clips over rendered scenes (verify)</x:v>
      </x:c>
      <x:c r="AD635" s="9" t="str">
        <x:v>Hard; long mechanical puzzles</x:v>
      </x:c>
      <x:c r="AE635" s="9" t="str">
        <x:v>Single ending</x:v>
      </x:c>
      <x:c r="AF635" s="9" t="str">
        <x:v>Designed by Jon Bock, who later produced Gabriel Knight 3 (verify).</x:v>
      </x:c>
      <x:c r="AG635" s="9" t="str">
        <x:v>Big box; jewel-case reissues</x:v>
      </x:c>
      <x:c r="AH635" s="9" t="str">
        <x:v>Yes (GOG, Windows edition)</x:v>
      </x:c>
      <x:c r="AI635" s="9" t="str">
        <x:v>Easy</x:v>
      </x:c>
      <x:c r="AJ635" s="9" t="str">
        <x:v>GOG re-release; original discs through ScummVM.</x:v>
      </x:c>
      <x:c r="AK635" s="9" t="str">
        <x:v>Live-action share is modest; fmv borderline (verify keep).</x:v>
      </x:c>
      <x:c r="AL635" s="10" t="n">
        <x:v>3.94</x:v>
      </x:c>
      <x:c r="AM635" s="10" t="n">
        <x:v>16.54</x:v>
      </x:c>
      <x:c r="AN635" s="10" t="n">
        <x:v>36.95</x:v>
      </x:c>
      <x:c r="AO635" s="9" t="str">
        <x:v>2026-10-24</x:v>
      </x:c>
      <x:c r="AP635" s="11" t="str">
        <x:f>HYPERLINK("https://www.pricecharting.com/game/pc-games/lighthouse-the-dark-being","PriceCharting")</x:f>
        <x:v>PriceCharting</x:v>
      </x:c>
      <x:c r="AQ635" s="9" t="n">
        <x:v>5.99</x:v>
      </x:c>
      <x:c r="AR635" s="11" t="str">
        <x:v>GOG</x:v>
      </x:c>
      <x:c r="AS635" s="9" t="str">
        <x:f>HYPERLINK("https://www.gog.com/en/game/lighthouse_the_dark_being","Store")</x:f>
        <x:v>Store</x:v>
      </x:c>
      <x:c r="AT635" s="9" t="str">
        <x:v>2026-10-24</x:v>
      </x:c>
      <x:c r="AU635" s="9"/>
      <x:c r="AV635" s="9"/>
      <x:c r="AW635" s="9"/>
      <x:c r="AX635" s="9"/>
      <x:c r="AY635" s="9" t="str">
        <x:v>68%</x:v>
      </x:c>
      <x:c r="AZ635" s="9" t="str">
        <x:v>3.8</x:v>
      </x:c>
      <x:c r="BA635" s="11" t="str">
        <x:f>HYPERLINK("https://www.mobygames.com/game/dos/lighthouse-the-dark-being","MobyGames")</x:f>
        <x:v>MobyGames</x:v>
      </x:c>
      <x:c r="BB635" s="9"/>
      <x:c r="BC635" s="9"/>
      <x:c r="BD635" s="9"/>
      <x:c r="BE635" s="11" t="str">
        <x:f>HYPERLINK("https://en.wikipedia.org/wiki/Lighthouse:_The_Dark_Being","Wikipedia")</x:f>
        <x:v>Wikipedia</x:v>
      </x:c>
      <x:c r="BF635" s="11" t="str">
        <x:f>HYPERLINK("https://backloggd.com/search/games/Lighthouse%3A%20The%20Dark%20Being/","Backloggd")</x:f>
        <x:v>Backloggd</x:v>
      </x:c>
      <x:c r="BG635" s="9"/>
      <x:c r="BH635" s="9"/>
      <x:c r="BI635" s="12" t="str">
        <x:v>No</x:v>
      </x:c>
      <x:c r="BJ635" s="12" t="str"/>
      <x:c r="BK635" s="12" t="str">
        <x:v>No</x:v>
      </x:c>
      <x:c r="BL635" s="12" t="str"/>
      <x:c r="BM635" s="12" t="str"/>
      <x:c r="BN635" s="12" t="str"/>
      <x:c r="BO635" s="12" t="str"/>
      <x:c r="BP635" s="12" t="str"/>
      <x:c r="BQ635" s="12" t="str"/>
    </x:row>
    <x:row r="636">
      <x:c r="A636" s="9" t="str">
        <x:v>pc-106</x:v>
      </x:c>
      <x:c r="B636" s="9" t="str">
        <x:v>the-journeyman-project</x:v>
      </x:c>
      <x:c r="C636" s="9" t="str">
        <x:v>PC</x:v>
      </x:c>
      <x:c r="D636" s="9" t="str">
        <x:v>The Journeyman Project</x:v>
      </x:c>
      <x:c r="E636" s="9" t="str">
        <x:v>The Journeyman Project Turbo!</x:v>
      </x:c>
      <x:c r="F636" s="9" t="str">
        <x:v>Presto Studios</x:v>
      </x:c>
      <x:c r="G636" s="9" t="str">
        <x:v>Quadra Interactive (1993 Mac); Sanctuary Woods (Turbo!, PC)</x:v>
      </x:c>
      <x:c r="H636" s="9" t="n">
        <x:v>1994</x:v>
      </x:c>
      <x:c r="I636" s="9" t="str">
        <x:v>Yes</x:v>
      </x:c>
      <x:c r="J636" s="9" t="str">
        <x:v>No</x:v>
      </x:c>
      <x:c r="K636" s="9" t="str">
        <x:v>No</x:v>
      </x:c>
      <x:c r="L636" s="9" t="str">
        <x:v>No</x:v>
      </x:c>
      <x:c r="M636" s="9" t="str">
        <x:v>First-person sci-fi adventure</x:v>
      </x:c>
      <x:c r="N636" s="9" t="str">
        <x:v>Live-action + pre-rendered CG</x:v>
      </x:c>
      <x:c r="O636" s="9" t="n">
        <x:v>5</x:v>
      </x:c>
      <x:c r="P636" s="9" t="str">
        <x:v>FMV adventure</x:v>
      </x:c>
      <x:c r="Q636" s="9" t="str">
        <x:v>Released</x:v>
      </x:c>
      <x:c r="R636" s="9" t="str">
        <x:v>Original production (Mac original, 1993)</x:v>
      </x:c>
      <x:c r="S636" s="9" t="str">
        <x:v>Mac; remade as Pegasus Prime (Mac 1997, PlayStation JP)</x:v>
      </x:c>
      <x:c r="T636" s="9" t="str">
        <x:v>Unknown — verify</x:v>
      </x:c>
      <x:c r="U636" s="9" t="n">
        <x:v>1</x:v>
      </x:c>
      <x:c r="V636" s="9" t="str">
        <x:v>Yes</x:v>
      </x:c>
      <x:c r="W636" s="9" t="str">
        <x:v>386/33, 4 MB RAM, CD-ROM, 256-colour SVGA; Windows 3.1 (verify)</x:v>
      </x:c>
      <x:c r="X636" s="9" t="str">
        <x:v>Low</x:v>
      </x:c>
      <x:c r="Y636" s="9" t="str"/>
      <x:c r="Z636" s="9" t="str">
        <x:v>5–8 hr</x:v>
      </x:c>
      <x:c r="AA636" s="9" t="str">
        <x:v>Agent 5 of the Temporal Protectorate patrols history in one of the first all-rendered CD-ROM adventures, with bluescreen actors in tiny windows.</x:v>
      </x:c>
      <x:c r="AB636" s="9" t="str">
        <x:v>None known</x:v>
      </x:c>
      <x:c r="AC636" s="9" t="str">
        <x:v>Small QuickTime windows inside a rendered interface (verify size/fps)</x:v>
      </x:c>
      <x:c r="AD636" s="9" t="str">
        <x:v>Moderate; timed sequences and robot combat</x:v>
      </x:c>
      <x:c r="AE636" s="9" t="str">
        <x:v>Single ending; failure deaths</x:v>
      </x:c>
      <x:c r="AF636" s="9" t="str">
        <x:v>Presto rendered every frame on Macs; the PC got the faster 'Turbo!' re-release.</x:v>
      </x:c>
      <x:c r="AG636" s="9" t="str">
        <x:v>Journeyman Project Turbo! (PC/Mac 1994); Pegasus Prime remake (1997)</x:v>
      </x:c>
      <x:c r="AH636" s="9" t="str">
        <x:v>Yes (GOG, Steam: Pegasus Prime)</x:v>
      </x:c>
      <x:c r="AI636" s="9" t="str">
        <x:v>Easy</x:v>
      </x:c>
      <x:c r="AJ636" s="9" t="str">
        <x:v>GOG/Steam (Pegasus Prime remake); original disc via ScummVM/86Box (verify)</x:v>
      </x:c>
      <x:c r="AK636" s="9" t="str">
        <x:v>Original 1993 release was Mac only; the PC version is Turbo! (verify year).</x:v>
      </x:c>
      <x:c r="AL636" s="10" t="n">
        <x:v>9.99</x:v>
      </x:c>
      <x:c r="AM636" s="10" t="n">
        <x:v>32.48</x:v>
      </x:c>
      <x:c r="AN636" s="10" t="n">
        <x:v>87.5</x:v>
      </x:c>
      <x:c r="AO636" s="9" t="str">
        <x:v>2026-10-24</x:v>
      </x:c>
      <x:c r="AP636" s="11" t="str">
        <x:f>HYPERLINK("https://www.pricecharting.com/game/pc-games/the-journeyman-project","PriceCharting")</x:f>
        <x:v>PriceCharting</x:v>
      </x:c>
      <x:c r="AQ636" s="9"/>
      <x:c r="AR636" s="9"/>
      <x:c r="AS636" s="9"/>
      <x:c r="AT636" s="9"/>
      <x:c r="AU636" s="9"/>
      <x:c r="AV636" s="9"/>
      <x:c r="AW636" s="9"/>
      <x:c r="AX636" s="9"/>
      <x:c r="AY636" s="9"/>
      <x:c r="AZ636" s="9"/>
      <x:c r="BA636" s="11" t="str">
        <x:f>HYPERLINK("https://www.mobygames.com/search/?q=The+Journeyman+Project","MobyGames")</x:f>
        <x:v>MobyGames</x:v>
      </x:c>
      <x:c r="BB636" s="9" t="str">
        <x:v>50%</x:v>
      </x:c>
      <x:c r="BC636" s="9" t="str">
        <x:v>GameRankings, 3 reviews</x:v>
      </x:c>
      <x:c r="BD636" s="9" t="str">
        <x:f>HYPERLINK("https://web.archive.org/web/20191209014842id_/https://www.gamerankings.com/pc/565188-the-journeyman-project-turbo/","Source")</x:f>
        <x:v>Source</x:v>
      </x:c>
      <x:c r="BE636" s="11" t="str">
        <x:f>HYPERLINK("https://en.wikipedia.org/wiki/The_Journeyman_Project","Wikipedia")</x:f>
        <x:v>Wikipedia</x:v>
      </x:c>
      <x:c r="BF636" s="11" t="str">
        <x:f>HYPERLINK("https://backloggd.com/search/games/The%20Journeyman%20Project/","Backloggd")</x:f>
        <x:v>Backloggd</x:v>
      </x:c>
      <x:c r="BG636" s="9"/>
      <x:c r="BH636" s="9"/>
      <x:c r="BI636" s="12" t="str">
        <x:v>No</x:v>
      </x:c>
      <x:c r="BJ636" s="12" t="str"/>
      <x:c r="BK636" s="12" t="str">
        <x:v>No</x:v>
      </x:c>
      <x:c r="BL636" s="12" t="str"/>
      <x:c r="BM636" s="12" t="str"/>
      <x:c r="BN636" s="12" t="str"/>
      <x:c r="BO636" s="12" t="str"/>
      <x:c r="BP636" s="12" t="str"/>
      <x:c r="BQ636" s="12" t="str"/>
    </x:row>
    <x:row r="637">
      <x:c r="A637" s="9" t="str">
        <x:v>pc-107</x:v>
      </x:c>
      <x:c r="B637" s="9" t="str">
        <x:v>the-journeyman-project-2-buried-in-time</x:v>
      </x:c>
      <x:c r="C637" s="9" t="str">
        <x:v>PC</x:v>
      </x:c>
      <x:c r="D637" s="9" t="str">
        <x:v>The Journeyman Project 2: Buried in Time</x:v>
      </x:c>
      <x:c r="E637" s="9" t="str">
        <x:v>Buried in Time</x:v>
      </x:c>
      <x:c r="F637" s="9" t="str">
        <x:v>Presto Studios</x:v>
      </x:c>
      <x:c r="G637" s="9" t="str">
        <x:v>Sanctuary Woods</x:v>
      </x:c>
      <x:c r="H637" s="9" t="n">
        <x:v>1995</x:v>
      </x:c>
      <x:c r="I637" s="9" t="str">
        <x:v>Yes</x:v>
      </x:c>
      <x:c r="J637" s="9" t="str">
        <x:v>No</x:v>
      </x:c>
      <x:c r="K637" s="9" t="str">
        <x:v>Yes</x:v>
      </x:c>
      <x:c r="L637" s="9" t="str">
        <x:v>No</x:v>
      </x:c>
      <x:c r="M637" s="9" t="str">
        <x:v>First-person sci-fi adventure</x:v>
      </x:c>
      <x:c r="N637" s="9" t="str">
        <x:v>Live-action + pre-rendered CG</x:v>
      </x:c>
      <x:c r="O637" s="9" t="n">
        <x:v>5</x:v>
      </x:c>
      <x:c r="P637" s="9" t="str">
        <x:v>FMV adventure</x:v>
      </x:c>
      <x:c r="Q637" s="9" t="str">
        <x:v>Released</x:v>
      </x:c>
      <x:c r="R637" s="9" t="str">
        <x:v>Original production</x:v>
      </x:c>
      <x:c r="S637" s="9" t="str">
        <x:v>Mac</x:v>
      </x:c>
      <x:c r="T637" s="9" t="str">
        <x:v>Unknown — verify</x:v>
      </x:c>
      <x:c r="U637" s="9" t="n">
        <x:v>3</x:v>
      </x:c>
      <x:c r="V637" s="9" t="str">
        <x:v>Yes</x:v>
      </x:c>
      <x:c r="W637" s="9" t="str">
        <x:v>486/33, 8 MB RAM, 2x CD-ROM, SVGA; Windows 3.1 (verify)</x:v>
      </x:c>
      <x:c r="X637" s="9" t="str">
        <x:v>Low</x:v>
      </x:c>
      <x:c r="Y637" s="9" t="str"/>
      <x:c r="Z637" s="9" t="str">
        <x:v>8–12 hr</x:v>
      </x:c>
      <x:c r="AA637" s="9" t="str">
        <x:v>Framed for tampering with history, Agent 5 clears his name across Leonardo's workshop, a French castle and a Mayan temple.</x:v>
      </x:c>
      <x:c r="AB637" s="9" t="str">
        <x:v>None known</x:v>
      </x:c>
      <x:c r="AC637" s="9" t="str">
        <x:v>QuickTime clips in a rendered window, about 15 fps (verify)</x:v>
      </x:c>
      <x:c r="AD637" s="9" t="str">
        <x:v>Moderate</x:v>
      </x:c>
      <x:c r="AE637" s="9" t="str">
        <x:v>Single ending; deaths along the way</x:v>
      </x:c>
      <x:c r="AF637" s="9" t="str">
        <x:v>Presto's own staff appear on camera (verify).</x:v>
      </x:c>
      <x:c r="AG637" s="9" t="str">
        <x:v>3-CD big box; jewel-case reissues</x:v>
      </x:c>
      <x:c r="AH637" s="9" t="str">
        <x:v>Yes (GOG, Steam)</x:v>
      </x:c>
      <x:c r="AI637" s="9" t="str">
        <x:v>Easy</x:v>
      </x:c>
      <x:c r="AJ637" s="9" t="str">
        <x:v>GOG/Steam; original discs via ScummVM</x:v>
      </x:c>
      <x:c r="AK637" s="9" t="str"/>
      <x:c r="AL637" s="10" t="n">
        <x:v>9.99</x:v>
      </x:c>
      <x:c r="AM637" s="10" t="n">
        <x:v>22.49</x:v>
      </x:c>
      <x:c r="AN637" s="10" t="n">
        <x:v>20.62</x:v>
      </x:c>
      <x:c r="AO637" s="9" t="str">
        <x:v>2026-10-24</x:v>
      </x:c>
      <x:c r="AP637" s="11" t="str">
        <x:f>HYPERLINK("https://www.pricecharting.com/game/pc-games/the-journeyman-project-2-buried-in-time","PriceCharting")</x:f>
        <x:v>PriceCharting</x:v>
      </x:c>
      <x:c r="AQ637" s="9" t="n">
        <x:v>2.99</x:v>
      </x:c>
      <x:c r="AR637" s="11" t="str">
        <x:v>GOG</x:v>
      </x:c>
      <x:c r="AS637" s="9" t="str">
        <x:f>HYPERLINK("https://www.gog.com/en/game/journeyman_project_2","Store")</x:f>
        <x:v>Store</x:v>
      </x:c>
      <x:c r="AT637" s="9" t="str">
        <x:v>2026-10-24</x:v>
      </x:c>
      <x:c r="AU637" s="9"/>
      <x:c r="AV637" s="9"/>
      <x:c r="AW637" s="9"/>
      <x:c r="AX637" s="9"/>
      <x:c r="AY637" s="9"/>
      <x:c r="AZ637" s="9" t="str">
        <x:v>3.7</x:v>
      </x:c>
      <x:c r="BA637" s="11" t="str">
        <x:f>HYPERLINK("https://www.mobygames.com/game/windows/journeyman-project-2-buried-in-time","MobyGames")</x:f>
        <x:v>MobyGames</x:v>
      </x:c>
      <x:c r="BB637" s="9" t="str">
        <x:v>77%</x:v>
      </x:c>
      <x:c r="BC637" s="9" t="str">
        <x:v>GameRankings, 5 reviews</x:v>
      </x:c>
      <x:c r="BD637" s="9" t="str">
        <x:f>HYPERLINK("https://web.archive.org/web/20191209011606id_/https://www.gamerankings.com/pc/198969-the-journeyman-project-2-buried-in-time/","Source")</x:f>
        <x:v>Source</x:v>
      </x:c>
      <x:c r="BE637" s="11" t="str">
        <x:f>HYPERLINK("https://en.wikipedia.org/wiki/The_Journeyman_Project_2:_Buried_in_Time","Wikipedia")</x:f>
        <x:v>Wikipedia</x:v>
      </x:c>
      <x:c r="BF637" s="11" t="str">
        <x:f>HYPERLINK("https://backloggd.com/search/games/The%20Journeyman%20Project%202%3A%20Buried%20in%20Time/","Backloggd")</x:f>
        <x:v>Backloggd</x:v>
      </x:c>
      <x:c r="BG637" s="9"/>
      <x:c r="BH637" s="9"/>
      <x:c r="BI637" s="12" t="str">
        <x:v>No</x:v>
      </x:c>
      <x:c r="BJ637" s="12" t="str"/>
      <x:c r="BK637" s="12" t="str">
        <x:v>No</x:v>
      </x:c>
      <x:c r="BL637" s="12" t="str"/>
      <x:c r="BM637" s="12" t="str"/>
      <x:c r="BN637" s="12" t="str"/>
      <x:c r="BO637" s="12" t="str"/>
      <x:c r="BP637" s="12" t="str"/>
      <x:c r="BQ637" s="12" t="str"/>
    </x:row>
    <x:row r="638">
      <x:c r="A638" s="9" t="str">
        <x:v>pc-108</x:v>
      </x:c>
      <x:c r="B638" s="9" t="str">
        <x:v>the-journeyman-project-3-legacy-of-time</x:v>
      </x:c>
      <x:c r="C638" s="9" t="str">
        <x:v>PC</x:v>
      </x:c>
      <x:c r="D638" s="9" t="str">
        <x:v>The Journeyman Project 3: Legacy of Time</x:v>
      </x:c>
      <x:c r="E638" s="9" t="str"/>
      <x:c r="F638" s="9" t="str">
        <x:v>Presto Studios</x:v>
      </x:c>
      <x:c r="G638" s="9" t="str">
        <x:v>Red Orb Entertainment</x:v>
      </x:c>
      <x:c r="H638" s="9" t="n">
        <x:v>1998</x:v>
      </x:c>
      <x:c r="I638" s="9" t="str">
        <x:v>Yes</x:v>
      </x:c>
      <x:c r="J638" s="9" t="str">
        <x:v>No</x:v>
      </x:c>
      <x:c r="K638" s="9" t="str">
        <x:v>Yes</x:v>
      </x:c>
      <x:c r="L638" s="9" t="str">
        <x:v>No</x:v>
      </x:c>
      <x:c r="M638" s="9" t="str">
        <x:v>First-person sci-fi adventure</x:v>
      </x:c>
      <x:c r="N638" s="9" t="str">
        <x:v>Live-action + pre-rendered CG</x:v>
      </x:c>
      <x:c r="O638" s="9" t="n">
        <x:v>5</x:v>
      </x:c>
      <x:c r="P638" s="9" t="str">
        <x:v>FMV adventure</x:v>
      </x:c>
      <x:c r="Q638" s="9" t="str">
        <x:v>Released</x:v>
      </x:c>
      <x:c r="R638" s="9" t="str">
        <x:v>Original production</x:v>
      </x:c>
      <x:c r="S638" s="9" t="str">
        <x:v>Mac</x:v>
      </x:c>
      <x:c r="T638" s="9" t="str">
        <x:v>Unknown — verify</x:v>
      </x:c>
      <x:c r="U638" s="9" t="n">
        <x:v>3</x:v>
      </x:c>
      <x:c r="V638" s="9" t="str">
        <x:v>Yes</x:v>
      </x:c>
      <x:c r="W638" s="9" t="str">
        <x:v>Pentium 133, 16 MB RAM, 4x CD-ROM, SVGA; Windows 95 (verify)</x:v>
      </x:c>
      <x:c r="X638" s="9" t="str">
        <x:v>Low</x:v>
      </x:c>
      <x:c r="Y638" s="9" t="str"/>
      <x:c r="Z638" s="9" t="str">
        <x:v>10–15 hr</x:v>
      </x:c>
      <x:c r="AA638" s="9" t="str">
        <x:v>Agent 5 visits Atlantis, El Dorado and Shangri-La with bluescreen actors set into 360-degree rendered panoramas.</x:v>
      </x:c>
      <x:c r="AB638" s="9" t="str">
        <x:v>None known</x:v>
      </x:c>
      <x:c r="AC638" s="9" t="str">
        <x:v>Live-action characters over 360-degree panoramas, about 15 fps (verify)</x:v>
      </x:c>
      <x:c r="AD638" s="9" t="str">
        <x:v>Moderate</x:v>
      </x:c>
      <x:c r="AE638" s="9" t="str">
        <x:v>Single ending</x:v>
      </x:c>
      <x:c r="AF638" s="9" t="str">
        <x:v>Presto's last adventure before it moved to console work and closed in 2002.</x:v>
      </x:c>
      <x:c r="AG638" s="9" t="str">
        <x:v>3-CD box; DVD-ROM edition (verify)</x:v>
      </x:c>
      <x:c r="AH638" s="9" t="str">
        <x:v>Yes (GOG, Steam)</x:v>
      </x:c>
      <x:c r="AI638" s="9" t="str">
        <x:v>Easy</x:v>
      </x:c>
      <x:c r="AJ638" s="9" t="str">
        <x:v>GOG/Steam</x:v>
      </x:c>
      <x:c r="AK638" s="9" t="str"/>
      <x:c r="AL638" s="10" t="n">
        <x:v>7.03</x:v>
      </x:c>
      <x:c r="AM638" s="10" t="n">
        <x:v>15</x:v>
      </x:c>
      <x:c r="AN638" s="10" t="n">
        <x:v>34.98</x:v>
      </x:c>
      <x:c r="AO638" s="9" t="str">
        <x:v>2026-10-24</x:v>
      </x:c>
      <x:c r="AP638" s="11" t="str">
        <x:f>HYPERLINK("https://www.pricecharting.com/game/pc-games/the-journeyman-project-3-legacy-of-time","PriceCharting")</x:f>
        <x:v>PriceCharting</x:v>
      </x:c>
      <x:c r="AQ638" s="9" t="n">
        <x:v>2.99</x:v>
      </x:c>
      <x:c r="AR638" s="11" t="str">
        <x:v>GOG</x:v>
      </x:c>
      <x:c r="AS638" s="9" t="str">
        <x:f>HYPERLINK("https://www.gog.com/en/game/journeyman_project_3","Store")</x:f>
        <x:v>Store</x:v>
      </x:c>
      <x:c r="AT638" s="9" t="str">
        <x:v>2026-10-24</x:v>
      </x:c>
      <x:c r="AU638" s="9"/>
      <x:c r="AV638" s="9"/>
      <x:c r="AW638" s="9"/>
      <x:c r="AX638" s="9"/>
      <x:c r="AY638" s="9" t="str">
        <x:v>76%</x:v>
      </x:c>
      <x:c r="AZ638" s="9" t="str">
        <x:v>3.8</x:v>
      </x:c>
      <x:c r="BA638" s="11" t="str">
        <x:f>HYPERLINK("https://www.mobygames.com/game/windows/journeyman-project-3-legacy-of-time","MobyGames")</x:f>
        <x:v>MobyGames</x:v>
      </x:c>
      <x:c r="BB638" s="9"/>
      <x:c r="BC638" s="9"/>
      <x:c r="BD638" s="9"/>
      <x:c r="BE638" s="11" t="str">
        <x:f>HYPERLINK("https://en.wikipedia.org/wiki/The_Journeyman_Project_3:_Legacy_of_Time","Wikipedia")</x:f>
        <x:v>Wikipedia</x:v>
      </x:c>
      <x:c r="BF638" s="11" t="str">
        <x:f>HYPERLINK("https://backloggd.com/search/games/The%20Journeyman%20Project%203%3A%20Legacy%20of%20Time/","Backloggd")</x:f>
        <x:v>Backloggd</x:v>
      </x:c>
      <x:c r="BG638" s="9"/>
      <x:c r="BH638" s="9"/>
      <x:c r="BI638" s="12" t="str">
        <x:v>No</x:v>
      </x:c>
      <x:c r="BJ638" s="12" t="str"/>
      <x:c r="BK638" s="12" t="str">
        <x:v>No</x:v>
      </x:c>
      <x:c r="BL638" s="12" t="str"/>
      <x:c r="BM638" s="12" t="str"/>
      <x:c r="BN638" s="12" t="str"/>
      <x:c r="BO638" s="12" t="str"/>
      <x:c r="BP638" s="12" t="str"/>
      <x:c r="BQ638" s="12" t="str"/>
    </x:row>
    <x:row r="639">
      <x:c r="A639" s="9" t="str">
        <x:v>pc-109</x:v>
      </x:c>
      <x:c r="B639" s="9" t="str">
        <x:v>frankenstein-through-the-eyes-of-the-monster</x:v>
      </x:c>
      <x:c r="C639" s="9" t="str">
        <x:v>PC</x:v>
      </x:c>
      <x:c r="D639" s="9" t="str">
        <x:v>Frankenstein: Through the Eyes of the Monster</x:v>
      </x:c>
      <x:c r="E639" s="9" t="str"/>
      <x:c r="F639" s="9" t="str">
        <x:v>Amazing Media</x:v>
      </x:c>
      <x:c r="G639" s="9" t="str">
        <x:v>Interplay</x:v>
      </x:c>
      <x:c r="H639" s="9" t="n">
        <x:v>1995</x:v>
      </x:c>
      <x:c r="I639" s="9" t="str">
        <x:v>Yes</x:v>
      </x:c>
      <x:c r="J639" s="9" t="str">
        <x:v>No</x:v>
      </x:c>
      <x:c r="K639" s="9" t="str">
        <x:v>Yes</x:v>
      </x:c>
      <x:c r="L639" s="9" t="str">
        <x:v>No</x:v>
      </x:c>
      <x:c r="M639" s="9" t="str">
        <x:v>First-person horror adventure</x:v>
      </x:c>
      <x:c r="N639" s="9" t="str">
        <x:v>Live-action + pre-rendered CG</x:v>
      </x:c>
      <x:c r="O639" s="9" t="n">
        <x:v>5</x:v>
      </x:c>
      <x:c r="P639" s="9" t="str">
        <x:v>FMV adventure</x:v>
      </x:c>
      <x:c r="Q639" s="9" t="str">
        <x:v>Released</x:v>
      </x:c>
      <x:c r="R639" s="9" t="str">
        <x:v>Original production (loosely after Mary Shelley)</x:v>
      </x:c>
      <x:c r="S639" s="9" t="str">
        <x:v>Mac</x:v>
      </x:c>
      <x:c r="T639" s="9" t="str">
        <x:v>Tim Curry (Dr. Frankenstein)</x:v>
      </x:c>
      <x:c r="U639" s="9" t="n">
        <x:v>2</x:v>
      </x:c>
      <x:c r="V639" s="9" t="str">
        <x:v>Yes</x:v>
      </x:c>
      <x:c r="W639" s="9" t="str">
        <x:v>486DX/33, 8 MB RAM, 2x CD-ROM, SVGA; Windows 3.1 (verify)</x:v>
      </x:c>
      <x:c r="X639" s="9" t="str">
        <x:v>Low</x:v>
      </x:c>
      <x:c r="Y639" s="9" t="str"/>
      <x:c r="Z639" s="9" t="str">
        <x:v>5–8 hr</x:v>
      </x:c>
      <x:c r="AA639" s="9" t="str">
        <x:v>You are the monster, and Tim Curry is the mad doctor who stitched you together, in full camp.</x:v>
      </x:c>
      <x:c r="AB639" s="9" t="str">
        <x:v>None known</x:v>
      </x:c>
      <x:c r="AC639" s="9" t="str">
        <x:v>Live-action Tim Curry windows over rendered rooms (verify size/fps)</x:v>
      </x:c>
      <x:c r="AD639" s="9" t="str">
        <x:v>Moderate; some obtuse puzzles</x:v>
      </x:c>
      <x:c r="AE639" s="9" t="str">
        <x:v>Single ending (verify)</x:v>
      </x:c>
      <x:c r="AF639" s="9" t="str">
        <x:v>Tim Curry filmed his scenes as the doctor; the player's monster is never seen except in reflections (verify).</x:v>
      </x:c>
      <x:c r="AG639" s="9" t="str">
        <x:v>2-CD box (verify disc count)</x:v>
      </x:c>
      <x:c r="AH639" s="9" t="str">
        <x:v>No</x:v>
      </x:c>
      <x:c r="AI639" s="9" t="str">
        <x:v>Easy</x:v>
      </x:c>
      <x:c r="AJ639" s="9" t="str">
        <x:v>86Box/PCem for Windows 3.1/95-era titles</x:v>
      </x:c>
      <x:c r="AK639" s="9" t="str"/>
      <x:c r="AL639" s="10" t="n">
        <x:v>6.09</x:v>
      </x:c>
      <x:c r="AM639" s="10" t="n">
        <x:v>24.99</x:v>
      </x:c>
      <x:c r="AN639" s="10" t="n">
        <x:v>34.94</x:v>
      </x:c>
      <x:c r="AO639" s="9" t="str">
        <x:v>2026-10-24</x:v>
      </x:c>
      <x:c r="AP639" s="11" t="str">
        <x:f>HYPERLINK("https://www.pricecharting.com/game/pc-games/frankenstein-through-the-eyes-of-the-monster","PriceCharting")</x:f>
        <x:v>PriceCharting</x:v>
      </x:c>
      <x:c r="AQ639" s="9"/>
      <x:c r="AR639" s="9"/>
      <x:c r="AS639" s="9"/>
      <x:c r="AT639" s="9"/>
      <x:c r="AU639" s="9"/>
      <x:c r="AV639" s="9"/>
      <x:c r="AW639" s="9"/>
      <x:c r="AX639" s="9"/>
      <x:c r="AY639" s="9" t="str">
        <x:v>64%</x:v>
      </x:c>
      <x:c r="AZ639" s="9" t="str">
        <x:v>2.9</x:v>
      </x:c>
      <x:c r="BA639" s="11" t="str">
        <x:f>HYPERLINK("https://www.mobygames.com/game/windows/frankenstein-through-the-eyes-of-the-monster","MobyGames")</x:f>
        <x:v>MobyGames</x:v>
      </x:c>
      <x:c r="BB639" s="9"/>
      <x:c r="BC639" s="9"/>
      <x:c r="BD639" s="9"/>
      <x:c r="BE639" s="11" t="str">
        <x:f>HYPERLINK("https://en.wikipedia.org/wiki/Frankenstein:_Through_the_Eyes_of_the_Monster","Wikipedia")</x:f>
        <x:v>Wikipedia</x:v>
      </x:c>
      <x:c r="BF639" s="11" t="str">
        <x:f>HYPERLINK("https://backloggd.com/search/games/Frankenstein%3A%20Through%20the%20Eyes%20of%20the%20Monster/","Backloggd")</x:f>
        <x:v>Backloggd</x:v>
      </x:c>
      <x:c r="BG639" s="9"/>
      <x:c r="BH639" s="9"/>
      <x:c r="BI639" s="12" t="str">
        <x:v>No</x:v>
      </x:c>
      <x:c r="BJ639" s="12" t="str"/>
      <x:c r="BK639" s="12" t="str">
        <x:v>No</x:v>
      </x:c>
      <x:c r="BL639" s="12" t="str"/>
      <x:c r="BM639" s="12" t="str"/>
      <x:c r="BN639" s="12" t="str"/>
      <x:c r="BO639" s="12" t="str"/>
      <x:c r="BP639" s="12" t="str"/>
      <x:c r="BQ639" s="12" t="str"/>
    </x:row>
    <x:row r="640">
      <x:c r="A640" s="9" t="str">
        <x:v>pc-110</x:v>
      </x:c>
      <x:c r="B640" s="9" t="str">
        <x:v>rama</x:v>
      </x:c>
      <x:c r="C640" s="9" t="str">
        <x:v>PC</x:v>
      </x:c>
      <x:c r="D640" s="9" t="str">
        <x:v>Rama</x:v>
      </x:c>
      <x:c r="E640" s="9" t="str"/>
      <x:c r="F640" s="9" t="str">
        <x:v>Dynamix</x:v>
      </x:c>
      <x:c r="G640" s="9" t="str">
        <x:v>Sierra On-Line</x:v>
      </x:c>
      <x:c r="H640" s="9" t="n">
        <x:v>1996</x:v>
      </x:c>
      <x:c r="I640" s="9" t="str">
        <x:v>Yes</x:v>
      </x:c>
      <x:c r="J640" s="9" t="str">
        <x:v>No</x:v>
      </x:c>
      <x:c r="K640" s="9" t="str">
        <x:v>Yes</x:v>
      </x:c>
      <x:c r="L640" s="9" t="str">
        <x:v>No</x:v>
      </x:c>
      <x:c r="M640" s="9" t="str">
        <x:v>First-person sci-fi puzzle adventure</x:v>
      </x:c>
      <x:c r="N640" s="9" t="str">
        <x:v>Live-action + pre-rendered CG</x:v>
      </x:c>
      <x:c r="O640" s="9" t="n">
        <x:v>4</x:v>
      </x:c>
      <x:c r="P640" s="9" t="str">
        <x:v>FMV adventure</x:v>
      </x:c>
      <x:c r="Q640" s="9" t="str">
        <x:v>Released</x:v>
      </x:c>
      <x:c r="R640" s="9" t="str">
        <x:v>Arthur C. Clarke's Rama novels</x:v>
      </x:c>
      <x:c r="S640" s="9" t="str">
        <x:v>Mac</x:v>
      </x:c>
      <x:c r="T640" s="9" t="str">
        <x:v>Arthur C. Clarke (as himself)</x:v>
      </x:c>
      <x:c r="U640" s="9" t="n">
        <x:v>3</x:v>
      </x:c>
      <x:c r="V640" s="9" t="str">
        <x:v>Yes</x:v>
      </x:c>
      <x:c r="W640" s="9" t="str">
        <x:v>486DX2/66, 8 MB RAM, 2x CD-ROM, SVGA; DOS &amp; Win95 (verify)</x:v>
      </x:c>
      <x:c r="X640" s="9" t="str">
        <x:v>Low</x:v>
      </x:c>
      <x:c r="Y640" s="9" t="str"/>
      <x:c r="Z640" s="9" t="str">
        <x:v>15–25 hr</x:v>
      </x:c>
      <x:c r="AA640" s="9" t="str">
        <x:v>Arthur C. Clarke himself introduces a trip inside the alien cylinder ship from Rendezvous with Rama, with filmed crewmates.</x:v>
      </x:c>
      <x:c r="AB640" s="9" t="str">
        <x:v>None known</x:v>
      </x:c>
      <x:c r="AC640" s="9" t="str">
        <x:v>Live-action crew and Clarke clips over rendered scenes (verify)</x:v>
      </x:c>
      <x:c r="AD640" s="9" t="str">
        <x:v>Hard; maths and logic puzzles</x:v>
      </x:c>
      <x:c r="AE640" s="9" t="str">
        <x:v>Single ending</x:v>
      </x:c>
      <x:c r="AF640" s="9" t="str">
        <x:v>Clarke recorded his introductions in Sri Lanka; co-author Gentry Lee was involved with the game (verify).</x:v>
      </x:c>
      <x:c r="AG640" s="9" t="str">
        <x:v>3-CD big box; jewel-case reissues</x:v>
      </x:c>
      <x:c r="AH640" s="9" t="str">
        <x:v>No</x:v>
      </x:c>
      <x:c r="AI640" s="9" t="str">
        <x:v>Easy</x:v>
      </x:c>
      <x:c r="AJ640" s="9" t="str">
        <x:v>Original discs in DOSBox</x:v>
      </x:c>
      <x:c r="AK640" s="9" t="str"/>
      <x:c r="AL640" s="10" t="n">
        <x:v>4.63</x:v>
      </x:c>
      <x:c r="AM640" s="10" t="n">
        <x:v>16</x:v>
      </x:c>
      <x:c r="AN640" s="10" t="n">
        <x:v>28.13</x:v>
      </x:c>
      <x:c r="AO640" s="9" t="str">
        <x:v>2026-10-24</x:v>
      </x:c>
      <x:c r="AP640" s="11" t="str">
        <x:f>HYPERLINK("https://www.pricecharting.com/game/pc-games/rama","PriceCharting")</x:f>
        <x:v>PriceCharting</x:v>
      </x:c>
      <x:c r="AQ640" s="9"/>
      <x:c r="AR640" s="9"/>
      <x:c r="AS640" s="9"/>
      <x:c r="AT640" s="9"/>
      <x:c r="AU640" s="9"/>
      <x:c r="AV640" s="9"/>
      <x:c r="AW640" s="9"/>
      <x:c r="AX640" s="9"/>
      <x:c r="AY640" s="9"/>
      <x:c r="AZ640" s="9"/>
      <x:c r="BA640" s="11" t="str">
        <x:f>HYPERLINK("https://www.mobygames.com/search/?q=Rama","MobyGames")</x:f>
        <x:v>MobyGames</x:v>
      </x:c>
      <x:c r="BB640" s="9" t="str">
        <x:v>73%</x:v>
      </x:c>
      <x:c r="BC640" s="9" t="str">
        <x:v>GameRankings, 7 reviews</x:v>
      </x:c>
      <x:c r="BD640" s="9" t="str">
        <x:f>HYPERLINK("https://web.archive.org/web/20191209011404id_/https://www.gamerankings.com/pc/198407-rama/","Source")</x:f>
        <x:v>Source</x:v>
      </x:c>
      <x:c r="BE640" s="11" t="str">
        <x:f>HYPERLINK("https://en.wikipedia.org/wiki/Rama_(video_game)","Wikipedia")</x:f>
        <x:v>Wikipedia</x:v>
      </x:c>
      <x:c r="BF640" s="11" t="str">
        <x:f>HYPERLINK("https://backloggd.com/search/games/Rama/","Backloggd")</x:f>
        <x:v>Backloggd</x:v>
      </x:c>
      <x:c r="BG640" s="9"/>
      <x:c r="BH640" s="9"/>
      <x:c r="BI640" s="12" t="str">
        <x:v>No</x:v>
      </x:c>
      <x:c r="BJ640" s="12" t="str"/>
      <x:c r="BK640" s="12" t="str">
        <x:v>No</x:v>
      </x:c>
      <x:c r="BL640" s="12" t="str"/>
      <x:c r="BM640" s="12" t="str"/>
      <x:c r="BN640" s="12" t="str"/>
      <x:c r="BO640" s="12" t="str"/>
      <x:c r="BP640" s="12" t="str"/>
      <x:c r="BQ640" s="12" t="str"/>
    </x:row>
    <x:row r="641">
      <x:c r="A641" s="9" t="str">
        <x:v>pc-111</x:v>
      </x:c>
      <x:c r="B641" s="9" t="str">
        <x:v>titanic-adventure-out-of-time</x:v>
      </x:c>
      <x:c r="C641" s="9" t="str">
        <x:v>PC</x:v>
      </x:c>
      <x:c r="D641" s="9" t="str">
        <x:v>Titanic: Adventure Out of Time</x:v>
      </x:c>
      <x:c r="E641" s="9" t="str"/>
      <x:c r="F641" s="9" t="str">
        <x:v>CyberFlix</x:v>
      </x:c>
      <x:c r="G641" s="9" t="str">
        <x:v>GTE Entertainment (NA); Europress (UK)</x:v>
      </x:c>
      <x:c r="H641" s="9" t="n">
        <x:v>1996</x:v>
      </x:c>
      <x:c r="I641" s="9" t="str">
        <x:v>Yes</x:v>
      </x:c>
      <x:c r="J641" s="9" t="str">
        <x:v>No</x:v>
      </x:c>
      <x:c r="K641" s="9" t="str">
        <x:v>Yes</x:v>
      </x:c>
      <x:c r="L641" s="9" t="str">
        <x:v>No</x:v>
      </x:c>
      <x:c r="M641" s="9" t="str">
        <x:v>First-person historical adventure</x:v>
      </x:c>
      <x:c r="N641" s="9" t="str">
        <x:v>Pre-rendered CG</x:v>
      </x:c>
      <x:c r="O641" s="9" t="n">
        <x:v>4</x:v>
      </x:c>
      <x:c r="P641" s="9" t="str">
        <x:v>FMV adventure</x:v>
      </x:c>
      <x:c r="Q641" s="9" t="str">
        <x:v>Released</x:v>
      </x:c>
      <x:c r="R641" s="9" t="str">
        <x:v>Original production (RMS Titanic history)</x:v>
      </x:c>
      <x:c r="S641" s="9" t="str">
        <x:v>Mac</x:v>
      </x:c>
      <x:c r="T641" s="9" t="str">
        <x:v>Unknown — verify</x:v>
      </x:c>
      <x:c r="U641" s="9" t="n">
        <x:v>2</x:v>
      </x:c>
      <x:c r="V641" s="9" t="str">
        <x:v>Yes</x:v>
      </x:c>
      <x:c r="W641" s="9" t="str">
        <x:v>486DX2/66, 8 MB RAM, 2x CD-ROM, SVGA; Windows 3.1/95 (verify)</x:v>
      </x:c>
      <x:c r="X641" s="9" t="str">
        <x:v>Low</x:v>
      </x:c>
      <x:c r="Y641" s="9" t="str"/>
      <x:c r="Z641" s="9" t="str">
        <x:v>6–10 hr</x:v>
      </x:c>
      <x:c r="AA641" s="9" t="str">
        <x:v>A British spy relives the Titanic's last night with a deadline: the iceberg hits whether or not you have finished.</x:v>
      </x:c>
      <x:c r="AB641" s="9" t="str">
        <x:v>None known</x:v>
      </x:c>
      <x:c r="AC641" s="9" t="str">
        <x:v>Rendered ship with animated characters and video transitions (verify)</x:v>
      </x:c>
      <x:c r="AD641" s="9" t="str">
        <x:v>Moderate; real-time sinking clock</x:v>
      </x:c>
      <x:c r="AE641" s="9" t="str">
        <x:v>Multiple endings depending on what you achieve before the sinking</x:v>
      </x:c>
      <x:c r="AF641" s="9" t="str">
        <x:v>Sales rose sharply after James Cameron's 1997 film, a year after the game shipped.</x:v>
      </x:c>
      <x:c r="AG641" s="9" t="str">
        <x:v>Win/Mac hybrid; budget reissues</x:v>
      </x:c>
      <x:c r="AH641" s="9" t="str">
        <x:v>Yes (Steam) (verify)</x:v>
      </x:c>
      <x:c r="AI641" s="9" t="str">
        <x:v>Easy</x:v>
      </x:c>
      <x:c r="AJ641" s="9" t="str">
        <x:v>Steam re-release (verify); else 86Box/PCem</x:v>
      </x:c>
      <x:c r="AK641" s="9" t="str">
        <x:v>Character scenes are animated photo-faces rather than true live action (verify fmvType).</x:v>
      </x:c>
      <x:c r="AL641" s="10" t="n">
        <x:v>5.62</x:v>
      </x:c>
      <x:c r="AM641" s="10" t="n">
        <x:v>14.58</x:v>
      </x:c>
      <x:c r="AN641" s="10" t="n">
        <x:v>55.93</x:v>
      </x:c>
      <x:c r="AO641" s="9" t="str">
        <x:v>2026-10-24</x:v>
      </x:c>
      <x:c r="AP641" s="11" t="str">
        <x:f>HYPERLINK("https://www.pricecharting.com/game/pc-games/titanic-adventure-out-of-time","PriceCharting")</x:f>
        <x:v>PriceCharting</x:v>
      </x:c>
      <x:c r="AQ641" s="9" t="n">
        <x:v>5.99</x:v>
      </x:c>
      <x:c r="AR641" s="11" t="str">
        <x:v>Steam</x:v>
      </x:c>
      <x:c r="AS641" s="9" t="str">
        <x:f>HYPERLINK("https://store.steampowered.com/app/785480/","Store")</x:f>
        <x:v>Store</x:v>
      </x:c>
      <x:c r="AT641" s="9" t="str">
        <x:v>2026-10-24</x:v>
      </x:c>
      <x:c r="AU641" s="9"/>
      <x:c r="AV641" s="9"/>
      <x:c r="AW641" s="9"/>
      <x:c r="AX641" s="9"/>
      <x:c r="AY641" s="9" t="str">
        <x:v>71%</x:v>
      </x:c>
      <x:c r="AZ641" s="9" t="str">
        <x:v>3.7</x:v>
      </x:c>
      <x:c r="BA641" s="11" t="str">
        <x:f>HYPERLINK("https://www.mobygames.com/game/windows/titanic-adventure-out-of-time","MobyGames")</x:f>
        <x:v>MobyGames</x:v>
      </x:c>
      <x:c r="BB641" s="9"/>
      <x:c r="BC641" s="9"/>
      <x:c r="BD641" s="9"/>
      <x:c r="BE641" s="11" t="str">
        <x:f>HYPERLINK("https://en.wikipedia.org/wiki/Titanic:_Adventure_Out_of_Time","Wikipedia")</x:f>
        <x:v>Wikipedia</x:v>
      </x:c>
      <x:c r="BF641" s="11" t="str">
        <x:f>HYPERLINK("https://backloggd.com/search/games/Titanic%3A%20Adventure%20Out%20of%20Time/","Backloggd")</x:f>
        <x:v>Backloggd</x:v>
      </x:c>
      <x:c r="BG641" s="9"/>
      <x:c r="BH641" s="9"/>
      <x:c r="BI641" s="12" t="str">
        <x:v>No</x:v>
      </x:c>
      <x:c r="BJ641" s="12" t="str"/>
      <x:c r="BK641" s="12" t="str">
        <x:v>No</x:v>
      </x:c>
      <x:c r="BL641" s="12" t="str"/>
      <x:c r="BM641" s="12" t="str"/>
      <x:c r="BN641" s="12" t="str"/>
      <x:c r="BO641" s="12" t="str"/>
      <x:c r="BP641" s="12" t="str"/>
      <x:c r="BQ641" s="12" t="str"/>
    </x:row>
    <x:row r="642">
      <x:c r="A642" s="9" t="str">
        <x:v>pc-112</x:v>
      </x:c>
      <x:c r="B642" s="9" t="str">
        <x:v>byzantine-the-betrayal</x:v>
      </x:c>
      <x:c r="C642" s="9" t="str">
        <x:v>PC</x:v>
      </x:c>
      <x:c r="D642" s="9" t="str">
        <x:v>Byzantine: The Betrayal</x:v>
      </x:c>
      <x:c r="E642" s="9" t="str"/>
      <x:c r="F642" s="9" t="str">
        <x:v>Stormfront Studios</x:v>
      </x:c>
      <x:c r="G642" s="9" t="str">
        <x:v>Discovery Channel Multimedia</x:v>
      </x:c>
      <x:c r="H642" s="9" t="n">
        <x:v>1997</x:v>
      </x:c>
      <x:c r="I642" s="9" t="str">
        <x:v>Yes</x:v>
      </x:c>
      <x:c r="J642" s="9" t="str">
        <x:v>No</x:v>
      </x:c>
      <x:c r="K642" s="9" t="str">
        <x:v>No</x:v>
      </x:c>
      <x:c r="L642" s="9" t="str">
        <x:v>No</x:v>
      </x:c>
      <x:c r="M642" s="9" t="str">
        <x:v>Interactive movie / adventure</x:v>
      </x:c>
      <x:c r="N642" s="9" t="str">
        <x:v>Live-action</x:v>
      </x:c>
      <x:c r="O642" s="9" t="n">
        <x:v>7</x:v>
      </x:c>
      <x:c r="P642" s="9" t="str">
        <x:v>Interactive movie</x:v>
      </x:c>
      <x:c r="Q642" s="9" t="str">
        <x:v>Released</x:v>
      </x:c>
      <x:c r="R642" s="9" t="str">
        <x:v>Original production</x:v>
      </x:c>
      <x:c r="S642" s="9" t="str">
        <x:v>—</x:v>
      </x:c>
      <x:c r="T642" s="9" t="str">
        <x:v>Unknown — verify</x:v>
      </x:c>
      <x:c r="U642" s="9" t="n">
        <x:v>3</x:v>
      </x:c>
      <x:c r="V642" s="9" t="str">
        <x:v>Yes</x:v>
      </x:c>
      <x:c r="W642" s="9" t="str">
        <x:v>Pentium 90, 16 MB RAM, 4x CD-ROM, SVGA; Windows 95 (verify)</x:v>
      </x:c>
      <x:c r="X642" s="9" t="str">
        <x:v>Low</x:v>
      </x:c>
      <x:c r="Y642" s="9" t="str"/>
      <x:c r="Z642" s="9" t="str">
        <x:v>6–10 hr</x:v>
      </x:c>
      <x:c r="AA642" s="9" t="str">
        <x:v>A thriller shot on location in Istanbul, mixing filmed actors with photographic panoramas of the real city.</x:v>
      </x:c>
      <x:c r="AB642" s="9" t="str">
        <x:v>None known</x:v>
      </x:c>
      <x:c r="AC642" s="9" t="str">
        <x:v>Live-action scenes over photographic 360-degree panoramas (verify size/fps)</x:v>
      </x:c>
      <x:c r="AD642" s="9" t="str">
        <x:v>Moderate</x:v>
      </x:c>
      <x:c r="AE642" s="9" t="str">
        <x:v>Single ending (verify)</x:v>
      </x:c>
      <x:c r="AF642" s="9" t="str">
        <x:v>Filmed in Istanbul, using Hagia Sophia and the Grand Bazaar as locations.</x:v>
      </x:c>
      <x:c r="AG642" s="9" t="str">
        <x:v>3-CD box (verify)</x:v>
      </x:c>
      <x:c r="AH642" s="9" t="str">
        <x:v>No</x:v>
      </x:c>
      <x:c r="AI642" s="9" t="str">
        <x:v>Easy</x:v>
      </x:c>
      <x:c r="AJ642" s="9" t="str">
        <x:v>86Box/PCem for Windows 95-era titles</x:v>
      </x:c>
      <x:c r="AK642" s="9" t="str"/>
      <x:c r="AL642" s="10" t="n">
        <x:v>6.12</x:v>
      </x:c>
      <x:c r="AM642" s="10" t="n">
        <x:v>13.43</x:v>
      </x:c>
      <x:c r="AN642" s="10" t="n">
        <x:v>26.73</x:v>
      </x:c>
      <x:c r="AO642" s="9" t="str">
        <x:v>2026-10-24</x:v>
      </x:c>
      <x:c r="AP642" s="11" t="str">
        <x:f>HYPERLINK("https://www.pricecharting.com/game/pc-games/byzantine-the-betrayal","PriceCharting")</x:f>
        <x:v>PriceCharting</x:v>
      </x:c>
      <x:c r="AQ642" s="9"/>
      <x:c r="AR642" s="9"/>
      <x:c r="AS642" s="9"/>
      <x:c r="AT642" s="9"/>
      <x:c r="AU642" s="9"/>
      <x:c r="AV642" s="9"/>
      <x:c r="AW642" s="9"/>
      <x:c r="AX642" s="9"/>
      <x:c r="AY642" s="9"/>
      <x:c r="AZ642" s="9"/>
      <x:c r="BA642" s="11" t="str">
        <x:f>HYPERLINK("https://www.mobygames.com/search/?q=Byzantine%3A+The+Betrayal","MobyGames")</x:f>
        <x:v>MobyGames</x:v>
      </x:c>
      <x:c r="BB642" s="9" t="str">
        <x:v>75%</x:v>
      </x:c>
      <x:c r="BC642" s="9" t="str">
        <x:v>GameRankings, 6 reviews</x:v>
      </x:c>
      <x:c r="BD642" s="9" t="str">
        <x:f>HYPERLINK("https://web.archive.org/web/20191209015443id_/https://www.gamerankings.com/pc/196859-byzantine-the-betrayal/","Source")</x:f>
        <x:v>Source</x:v>
      </x:c>
      <x:c r="BE642" s="11" t="str">
        <x:f>HYPERLINK("https://en.wikipedia.org/wiki/Byzantine:_The_Betrayal","Wikipedia")</x:f>
        <x:v>Wikipedia</x:v>
      </x:c>
      <x:c r="BF642" s="11" t="str">
        <x:f>HYPERLINK("https://backloggd.com/search/games/Byzantine%3A%20The%20Betrayal/","Backloggd")</x:f>
        <x:v>Backloggd</x:v>
      </x:c>
      <x:c r="BG642" s="9"/>
      <x:c r="BH642" s="9"/>
      <x:c r="BI642" s="12" t="str">
        <x:v>No</x:v>
      </x:c>
      <x:c r="BJ642" s="12" t="str"/>
      <x:c r="BK642" s="12" t="str">
        <x:v>No</x:v>
      </x:c>
      <x:c r="BL642" s="12" t="str"/>
      <x:c r="BM642" s="12" t="str"/>
      <x:c r="BN642" s="12" t="str"/>
      <x:c r="BO642" s="12" t="str"/>
      <x:c r="BP642" s="12" t="str"/>
      <x:c r="BQ642" s="12" t="str"/>
    </x:row>
    <x:row r="643">
      <x:c r="A643" s="9" t="str">
        <x:v>pc-113</x:v>
      </x:c>
      <x:c r="B643" s="9" t="str">
        <x:v>temujin</x:v>
      </x:c>
      <x:c r="C643" s="9" t="str">
        <x:v>PC</x:v>
      </x:c>
      <x:c r="D643" s="9" t="str">
        <x:v>Temujin</x:v>
      </x:c>
      <x:c r="E643" s="9" t="str">
        <x:v>Temujin: A Supernatural Adventure</x:v>
      </x:c>
      <x:c r="F643" s="9" t="str">
        <x:v>SouthPeak Interactive</x:v>
      </x:c>
      <x:c r="G643" s="9" t="str">
        <x:v>SouthPeak Interactive</x:v>
      </x:c>
      <x:c r="H643" s="9" t="n">
        <x:v>1997</x:v>
      </x:c>
      <x:c r="I643" s="9" t="str">
        <x:v>Yes</x:v>
      </x:c>
      <x:c r="J643" s="9" t="str">
        <x:v>No</x:v>
      </x:c>
      <x:c r="K643" s="9" t="str">
        <x:v>Yes</x:v>
      </x:c>
      <x:c r="L643" s="9" t="str">
        <x:v>No</x:v>
      </x:c>
      <x:c r="M643" s="9" t="str">
        <x:v>First-person adventure</x:v>
      </x:c>
      <x:c r="N643" s="9" t="str">
        <x:v>Live-action</x:v>
      </x:c>
      <x:c r="O643" s="9" t="n">
        <x:v>6</x:v>
      </x:c>
      <x:c r="P643" s="9" t="str">
        <x:v>FMV adventure</x:v>
      </x:c>
      <x:c r="Q643" s="9" t="str">
        <x:v>Released</x:v>
      </x:c>
      <x:c r="R643" s="9" t="str">
        <x:v>Original production</x:v>
      </x:c>
      <x:c r="S643" s="9" t="str">
        <x:v>—</x:v>
      </x:c>
      <x:c r="T643" s="9" t="str">
        <x:v>Unknown — verify</x:v>
      </x:c>
      <x:c r="U643" s="9" t="n">
        <x:v>6</x:v>
      </x:c>
      <x:c r="V643" s="9" t="str">
        <x:v>Yes</x:v>
      </x:c>
      <x:c r="W643" s="9" t="str">
        <x:v>Pentium 90, 16 MB RAM, 4x CD-ROM, SVGA; Windows 95 (verify)</x:v>
      </x:c>
      <x:c r="X643" s="9" t="str">
        <x:v>Low</x:v>
      </x:c>
      <x:c r="Y643" s="9" t="str"/>
      <x:c r="Z643" s="9" t="str">
        <x:v>8–12 hr</x:v>
      </x:c>
      <x:c r="AA643" s="9" t="str">
        <x:v>SouthPeak's 'Video Reality' engine lets you walk through continuous filmed video of a museum haunted by Genghis Khan's spirit.</x:v>
      </x:c>
      <x:c r="AB643" s="9" t="str">
        <x:v>None known</x:v>
      </x:c>
      <x:c r="AC643" s="9" t="str">
        <x:v>Full-screen continuous video navigation (Video Reality), 640x480, about 15 fps (verify)</x:v>
      </x:c>
      <x:c r="AD643" s="9" t="str">
        <x:v>Moderate</x:v>
      </x:c>
      <x:c r="AE643" s="9" t="str">
        <x:v>Single ending (verify)</x:v>
      </x:c>
      <x:c r="AF643" s="9" t="str">
        <x:v>SouthPeak was spun out of SAS Institute; Temujin was its first Video Reality game.</x:v>
      </x:c>
      <x:c r="AG643" s="9" t="str">
        <x:v>6-CD box (verify count)</x:v>
      </x:c>
      <x:c r="AH643" s="9" t="str">
        <x:v>No</x:v>
      </x:c>
      <x:c r="AI643" s="9" t="str">
        <x:v>Easy</x:v>
      </x:c>
      <x:c r="AJ643" s="9" t="str">
        <x:v>86Box/PCem for Windows 95-era titles</x:v>
      </x:c>
      <x:c r="AK643" s="9" t="str">
        <x:v>PriceCharting lists it as 'Temujin: A Supernatural Adventure'.</x:v>
      </x:c>
      <x:c r="AL643" s="10" t="n">
        <x:v>7.33</x:v>
      </x:c>
      <x:c r="AM643" s="10" t="n">
        <x:v>19.95</x:v>
      </x:c>
      <x:c r="AN643" s="10" t="n">
        <x:v>32.97</x:v>
      </x:c>
      <x:c r="AO643" s="9" t="str">
        <x:v>2026-10-24</x:v>
      </x:c>
      <x:c r="AP643" s="11" t="str">
        <x:f>HYPERLINK("https://www.pricecharting.com/game/pc-games/temujin","PriceCharting")</x:f>
        <x:v>PriceCharting</x:v>
      </x:c>
      <x:c r="AQ643" s="9"/>
      <x:c r="AR643" s="9"/>
      <x:c r="AS643" s="9"/>
      <x:c r="AT643" s="9"/>
      <x:c r="AU643" s="9"/>
      <x:c r="AV643" s="9"/>
      <x:c r="AW643" s="9"/>
      <x:c r="AX643" s="9"/>
      <x:c r="AY643" s="9"/>
      <x:c r="AZ643" s="9"/>
      <x:c r="BA643" s="11" t="str">
        <x:f>HYPERLINK("https://www.mobygames.com/search/?q=Temujin","MobyGames")</x:f>
        <x:v>MobyGames</x:v>
      </x:c>
      <x:c r="BB643" s="9" t="str">
        <x:v>44%</x:v>
      </x:c>
      <x:c r="BC643" s="9" t="str">
        <x:v>GameRankings, 3 reviews</x:v>
      </x:c>
      <x:c r="BD643" s="9" t="str">
        <x:f>HYPERLINK("https://web.archive.org/web/20191209014012id_/https://www.gamerankings.com/pc/198906-temujin-the-capricorn-collection/","Source")</x:f>
        <x:v>Source</x:v>
      </x:c>
      <x:c r="BE643" s="11" t="str">
        <x:f>HYPERLINK("https://en.wikipedia.org/wiki/Temujin_(video_game)","Wikipedia")</x:f>
        <x:v>Wikipedia</x:v>
      </x:c>
      <x:c r="BF643" s="11" t="str">
        <x:f>HYPERLINK("https://backloggd.com/search/games/Temujin/","Backloggd")</x:f>
        <x:v>Backloggd</x:v>
      </x:c>
      <x:c r="BG643" s="9"/>
      <x:c r="BH643" s="9"/>
      <x:c r="BI643" s="12" t="str">
        <x:v>No</x:v>
      </x:c>
      <x:c r="BJ643" s="12" t="str"/>
      <x:c r="BK643" s="12" t="str">
        <x:v>No</x:v>
      </x:c>
      <x:c r="BL643" s="12" t="str"/>
      <x:c r="BM643" s="12" t="str"/>
      <x:c r="BN643" s="12" t="str"/>
      <x:c r="BO643" s="12" t="str"/>
      <x:c r="BP643" s="12" t="str"/>
      <x:c r="BQ643" s="12" t="str"/>
    </x:row>
    <x:row r="644">
      <x:c r="A644" s="9" t="str">
        <x:v>pc-114</x:v>
      </x:c>
      <x:c r="B644" s="9" t="str">
        <x:v>dark-side-of-the-moon</x:v>
      </x:c>
      <x:c r="C644" s="9" t="str">
        <x:v>PC</x:v>
      </x:c>
      <x:c r="D644" s="9" t="str">
        <x:v>Dark Side of the Moon</x:v>
      </x:c>
      <x:c r="E644" s="9" t="str">
        <x:v>Dark Side of the Moon: A Sci-Fi Adventure</x:v>
      </x:c>
      <x:c r="F644" s="9" t="str">
        <x:v>SouthPeak Interactive</x:v>
      </x:c>
      <x:c r="G644" s="9" t="str">
        <x:v>SouthPeak Interactive</x:v>
      </x:c>
      <x:c r="H644" s="9" t="n">
        <x:v>1998</x:v>
      </x:c>
      <x:c r="I644" s="9" t="str">
        <x:v>Yes</x:v>
      </x:c>
      <x:c r="J644" s="9" t="str">
        <x:v>No</x:v>
      </x:c>
      <x:c r="K644" s="9" t="str">
        <x:v>Yes</x:v>
      </x:c>
      <x:c r="L644" s="9" t="str">
        <x:v>No</x:v>
      </x:c>
      <x:c r="M644" s="9" t="str">
        <x:v>First-person sci-fi adventure</x:v>
      </x:c>
      <x:c r="N644" s="9" t="str">
        <x:v>Live-action + CG</x:v>
      </x:c>
      <x:c r="O644" s="9" t="n">
        <x:v>6</x:v>
      </x:c>
      <x:c r="P644" s="9" t="str">
        <x:v>FMV adventure</x:v>
      </x:c>
      <x:c r="Q644" s="9" t="str">
        <x:v>Released</x:v>
      </x:c>
      <x:c r="R644" s="9" t="str">
        <x:v>Original production</x:v>
      </x:c>
      <x:c r="S644" s="9" t="str">
        <x:v>—</x:v>
      </x:c>
      <x:c r="T644" s="9" t="str">
        <x:v>Unknown — verify</x:v>
      </x:c>
      <x:c r="U644" s="9" t="n">
        <x:v>6</x:v>
      </x:c>
      <x:c r="V644" s="9" t="str">
        <x:v>Yes</x:v>
      </x:c>
      <x:c r="W644" s="9" t="str">
        <x:v>Pentium 133, 16 MB RAM, 4x CD-ROM, SVGA; Windows 95 (verify)</x:v>
      </x:c>
      <x:c r="X644" s="9" t="str">
        <x:v>Low</x:v>
      </x:c>
      <x:c r="Y644" s="9" t="str"/>
      <x:c r="Z644" s="9" t="str">
        <x:v>10–15 hr</x:v>
      </x:c>
      <x:c r="AA644" s="9" t="str">
        <x:v>You inherit your uncle's lunar mining claim and walk through filmed video of a seedy moon colony in SouthPeak's Video Reality engine.</x:v>
      </x:c>
      <x:c r="AB644" s="9" t="str">
        <x:v>None known</x:v>
      </x:c>
      <x:c r="AC644" s="9" t="str">
        <x:v>Continuous video navigation with filmed actors, 640x480 (verify fps)</x:v>
      </x:c>
      <x:c r="AD644" s="9" t="str">
        <x:v>Moderate to hard</x:v>
      </x:c>
      <x:c r="AE644" s="9" t="str">
        <x:v>Single ending (verify)</x:v>
      </x:c>
      <x:c r="AF644" s="9" t="str">
        <x:v>No connection to the Pink Floyd album despite the title.</x:v>
      </x:c>
      <x:c r="AG644" s="9" t="str">
        <x:v>6-CD box (verify count)</x:v>
      </x:c>
      <x:c r="AH644" s="9" t="str">
        <x:v>No</x:v>
      </x:c>
      <x:c r="AI644" s="9" t="str">
        <x:v>Easy</x:v>
      </x:c>
      <x:c r="AJ644" s="9" t="str">
        <x:v>86Box/PCem for Windows 95-era titles</x:v>
      </x:c>
      <x:c r="AK644" s="9" t="str">
        <x:v>Price not fetched: the shared WebFetch budget ran out.</x:v>
      </x:c>
      <x:c r="AL644" s="10" t="n">
        <x:v>6.78</x:v>
      </x:c>
      <x:c r="AM644" s="10" t="n">
        <x:v>20.29</x:v>
      </x:c>
      <x:c r="AN644" s="10" t="n">
        <x:v>34.02</x:v>
      </x:c>
      <x:c r="AO644" s="9" t="str">
        <x:v>2026-10-24</x:v>
      </x:c>
      <x:c r="AP644" s="11" t="str">
        <x:f>HYPERLINK("https://www.pricecharting.com/game/pc-games/dark-side-of-the-moon","PriceCharting")</x:f>
        <x:v>PriceCharting</x:v>
      </x:c>
      <x:c r="AQ644" s="9"/>
      <x:c r="AR644" s="9"/>
      <x:c r="AS644" s="9"/>
      <x:c r="AT644" s="9"/>
      <x:c r="AU644" s="9"/>
      <x:c r="AV644" s="9"/>
      <x:c r="AW644" s="9"/>
      <x:c r="AX644" s="9"/>
      <x:c r="AY644" s="9"/>
      <x:c r="AZ644" s="9"/>
      <x:c r="BA644" s="11" t="str">
        <x:f>HYPERLINK("https://www.mobygames.com/search/?q=Dark+Side+of+the+Moon","MobyGames")</x:f>
        <x:v>MobyGames</x:v>
      </x:c>
      <x:c r="BB644" s="9" t="str">
        <x:v>69%</x:v>
      </x:c>
      <x:c r="BC644" s="9" t="str">
        <x:v>GameRankings, 13 reviews</x:v>
      </x:c>
      <x:c r="BD644" s="9" t="str">
        <x:f>HYPERLINK("https://web.archive.org/web/20191209005010id_/https://www.gamerankings.com/pc/197052-dark-side-of-the-moon/","Source")</x:f>
        <x:v>Source</x:v>
      </x:c>
      <x:c r="BE644" s="11" t="str">
        <x:f>HYPERLINK("https://en.wikipedia.org/wiki/Dark_Side_of_the_Moon_(video_game)","Wikipedia")</x:f>
        <x:v>Wikipedia</x:v>
      </x:c>
      <x:c r="BF644" s="11" t="str">
        <x:f>HYPERLINK("https://backloggd.com/search/games/Dark%20Side%20of%20the%20Moon/","Backloggd")</x:f>
        <x:v>Backloggd</x:v>
      </x:c>
      <x:c r="BG644" s="9"/>
      <x:c r="BH644" s="9"/>
      <x:c r="BI644" s="12" t="str">
        <x:v>No</x:v>
      </x:c>
      <x:c r="BJ644" s="12" t="str"/>
      <x:c r="BK644" s="12" t="str">
        <x:v>No</x:v>
      </x:c>
      <x:c r="BL644" s="12" t="str"/>
      <x:c r="BM644" s="12" t="str"/>
      <x:c r="BN644" s="12" t="str"/>
      <x:c r="BO644" s="12" t="str"/>
      <x:c r="BP644" s="12" t="str"/>
      <x:c r="BQ644" s="12" t="str"/>
    </x:row>
    <x:row r="645">
      <x:c r="A645" s="9" t="str">
        <x:v>pc-115</x:v>
      </x:c>
      <x:c r="B645" s="9" t="str">
        <x:v>of-light-and-darkness-the-prophecy</x:v>
      </x:c>
      <x:c r="C645" s="9" t="str">
        <x:v>PC</x:v>
      </x:c>
      <x:c r="D645" s="9" t="str">
        <x:v>Of Light and Darkness: The Prophecy</x:v>
      </x:c>
      <x:c r="E645" s="9" t="str"/>
      <x:c r="F645" s="9" t="str">
        <x:v>Tribeca Interactive</x:v>
      </x:c>
      <x:c r="G645" s="9" t="str">
        <x:v>Interplay</x:v>
      </x:c>
      <x:c r="H645" s="9" t="n">
        <x:v>1998</x:v>
      </x:c>
      <x:c r="I645" s="9" t="str">
        <x:v>Yes</x:v>
      </x:c>
      <x:c r="J645" s="9" t="str">
        <x:v>No</x:v>
      </x:c>
      <x:c r="K645" s="9" t="str">
        <x:v>Yes</x:v>
      </x:c>
      <x:c r="L645" s="9" t="str">
        <x:v>No</x:v>
      </x:c>
      <x:c r="M645" s="9" t="str">
        <x:v>First-person surreal adventure</x:v>
      </x:c>
      <x:c r="N645" s="9" t="str">
        <x:v>Live-action + pre-rendered CG</x:v>
      </x:c>
      <x:c r="O645" s="9" t="n">
        <x:v>4</x:v>
      </x:c>
      <x:c r="P645" s="9" t="str">
        <x:v>FMV adventure</x:v>
      </x:c>
      <x:c r="Q645" s="9" t="str">
        <x:v>Released</x:v>
      </x:c>
      <x:c r="R645" s="9" t="str">
        <x:v>Original production (art by Gil Bruvel)</x:v>
      </x:c>
      <x:c r="S645" s="9" t="str">
        <x:v>—</x:v>
      </x:c>
      <x:c r="T645" s="9" t="str">
        <x:v>James Woods (Gar Hob), Lolita Davidovich (Angel Gemini)</x:v>
      </x:c>
      <x:c r="U645" s="9" t="n">
        <x:v>3</x:v>
      </x:c>
      <x:c r="V645" s="9" t="str">
        <x:v>Yes</x:v>
      </x:c>
      <x:c r="W645" s="9" t="str">
        <x:v>Pentium 133, 16 MB RAM, 4x CD-ROM, SVGA; Windows 95 (verify)</x:v>
      </x:c>
      <x:c r="X645" s="9" t="str">
        <x:v>Low</x:v>
      </x:c>
      <x:c r="Y645" s="9" t="str"/>
      <x:c r="Z645" s="9" t="str">
        <x:v>6–10 hr</x:v>
      </x:c>
      <x:c r="AA645" s="9" t="str">
        <x:v>James Woods sneers as a demon in an art-house apocalypse from Robert De Niro's games company, painted by Gil Bruvel.</x:v>
      </x:c>
      <x:c r="AB645" s="9" t="str">
        <x:v>None known</x:v>
      </x:c>
      <x:c r="AC645" s="9" t="str">
        <x:v>Pre-rendered transitions and live-action/voiced character scenes (verify)</x:v>
      </x:c>
      <x:c r="AD645" s="9" t="str">
        <x:v>Moderate</x:v>
      </x:c>
      <x:c r="AE645" s="9" t="str">
        <x:v>Single ending (verify)</x:v>
      </x:c>
      <x:c r="AF645" s="9" t="str">
        <x:v>Tribeca Interactive was co-founded by Robert De Niro; this was its only major game.</x:v>
      </x:c>
      <x:c r="AG645" s="9" t="str">
        <x:v>3-CD box (verify)</x:v>
      </x:c>
      <x:c r="AH645" s="9" t="str">
        <x:v>Yes (GOG and Steam)</x:v>
      </x:c>
      <x:c r="AI645" s="9" t="str">
        <x:v>Easy</x:v>
      </x:c>
      <x:c r="AJ645" s="9" t="str">
        <x:v>GOG or Steam; original discs in 86Box/PCem</x:v>
      </x:c>
      <x:c r="AK645" s="9" t="str">
        <x:v>Price not fetched: the shared WebFetch budget ran out.</x:v>
      </x:c>
      <x:c r="AL645" s="10"/>
      <x:c r="AM645" s="10"/>
      <x:c r="AN645" s="10"/>
      <x:c r="AO645" s="9"/>
      <x:c r="AP645" s="11" t="str">
        <x:f>HYPERLINK("https://www.pricecharting.com/search-products?q=Of+Light+and+Darkness%3A+The+Prophecy+pc+games&amp;type=prices","PriceCharting")</x:f>
        <x:v>PriceCharting</x:v>
      </x:c>
      <x:c r="AQ645" s="9"/>
      <x:c r="AR645" s="9"/>
      <x:c r="AS645" s="9"/>
      <x:c r="AT645" s="9"/>
      <x:c r="AU645" s="9" t="str">
        <x:v>No market</x:v>
      </x:c>
      <x:c r="AV645" s="9" t="str">
        <x:v>Not sold on Steam or GOG (checked 2026-10-25) and no PriceCharting listing.</x:v>
      </x:c>
      <x:c r="AW645" s="9"/>
      <x:c r="AX645" s="9"/>
      <x:c r="AY645" s="9"/>
      <x:c r="AZ645" s="9"/>
      <x:c r="BA645" s="11" t="str">
        <x:f>HYPERLINK("https://www.mobygames.com/search/?q=Of+Light+and+Darkness%3A+The+Prophecy","MobyGames")</x:f>
        <x:v>MobyGames</x:v>
      </x:c>
      <x:c r="BB645" s="9" t="str">
        <x:v>63%</x:v>
      </x:c>
      <x:c r="BC645" s="9" t="str">
        <x:v>average of 9 reviews on Wikipedia (CGSP, CGW, CNG, EPD, GI, GSpot, NGen, PCGUS, PCPP)</x:v>
      </x:c>
      <x:c r="BD645" s="9" t="str">
        <x:f>HYPERLINK("https://en.wikipedia.org/wiki/Of_Light_and_Darkness%3A_The_Prophecy","Source")</x:f>
        <x:v>Source</x:v>
      </x:c>
      <x:c r="BE645" s="11" t="str">
        <x:f>HYPERLINK("https://en.wikipedia.org/wiki/Of_Light_and_Darkness","Wikipedia")</x:f>
        <x:v>Wikipedia</x:v>
      </x:c>
      <x:c r="BF645" s="11" t="str">
        <x:f>HYPERLINK("https://backloggd.com/search/games/Of%20Light%20and%20Darkness%3A%20The%20Prophecy/","Backloggd")</x:f>
        <x:v>Backloggd</x:v>
      </x:c>
      <x:c r="BG645" s="9"/>
      <x:c r="BH645" s="9"/>
      <x:c r="BI645" s="12" t="str">
        <x:v>No</x:v>
      </x:c>
      <x:c r="BJ645" s="12" t="str"/>
      <x:c r="BK645" s="12" t="str">
        <x:v>No</x:v>
      </x:c>
      <x:c r="BL645" s="12" t="str"/>
      <x:c r="BM645" s="12" t="str"/>
      <x:c r="BN645" s="12" t="str"/>
      <x:c r="BO645" s="12" t="str"/>
      <x:c r="BP645" s="12" t="str"/>
      <x:c r="BQ645" s="12" t="str"/>
    </x:row>
    <x:row r="646">
      <x:c r="A646" s="9" t="str">
        <x:v>pc-116</x:v>
      </x:c>
      <x:c r="B646" s="9" t="str">
        <x:v>morpheus</x:v>
      </x:c>
      <x:c r="C646" s="9" t="str">
        <x:v>PC</x:v>
      </x:c>
      <x:c r="D646" s="9" t="str">
        <x:v>Morpheus</x:v>
      </x:c>
      <x:c r="E646" s="9" t="str"/>
      <x:c r="F646" s="9" t="str">
        <x:v>Soap Bubble Productions</x:v>
      </x:c>
      <x:c r="G646" s="9" t="str">
        <x:v>Piranha Interactive Publishing</x:v>
      </x:c>
      <x:c r="H646" s="9" t="n">
        <x:v>1998</x:v>
      </x:c>
      <x:c r="I646" s="9" t="str">
        <x:v>Yes</x:v>
      </x:c>
      <x:c r="J646" s="9" t="str">
        <x:v>No</x:v>
      </x:c>
      <x:c r="K646" s="9" t="str">
        <x:v>No</x:v>
      </x:c>
      <x:c r="L646" s="9" t="str">
        <x:v>No</x:v>
      </x:c>
      <x:c r="M646" s="9" t="str">
        <x:v>First-person puzzle adventure</x:v>
      </x:c>
      <x:c r="N646" s="9" t="str">
        <x:v>Live-action + pre-rendered CG</x:v>
      </x:c>
      <x:c r="O646" s="9" t="n">
        <x:v>5</x:v>
      </x:c>
      <x:c r="P646" s="9" t="str">
        <x:v>FMV adventure</x:v>
      </x:c>
      <x:c r="Q646" s="9" t="str">
        <x:v>Released</x:v>
      </x:c>
      <x:c r="R646" s="9" t="str">
        <x:v>Original production</x:v>
      </x:c>
      <x:c r="S646" s="9" t="str">
        <x:v>Mac</x:v>
      </x:c>
      <x:c r="T646" s="9" t="str">
        <x:v>Unknown — verify</x:v>
      </x:c>
      <x:c r="U646" s="9" t="n">
        <x:v>3</x:v>
      </x:c>
      <x:c r="V646" s="9" t="str">
        <x:v>Yes</x:v>
      </x:c>
      <x:c r="W646" s="9" t="str">
        <x:v>Pentium 133, 16 MB RAM, 4x CD-ROM, SVGA; Windows 95 (verify)</x:v>
      </x:c>
      <x:c r="X646" s="9" t="str">
        <x:v>Low</x:v>
      </x:c>
      <x:c r="Y646" s="9" t="str"/>
      <x:c r="Z646" s="9" t="str">
        <x:v>8–12 hr</x:v>
      </x:c>
      <x:c r="AA646" s="9" t="str">
        <x:v>A ghost ship frozen in the Arctic, where filmed passengers drift through 360-degree rendered decks reliving a 1920s dream experiment.</x:v>
      </x:c>
      <x:c r="AB646" s="9" t="str">
        <x:v>None known</x:v>
      </x:c>
      <x:c r="AC646" s="9" t="str">
        <x:v>Translucent live-action ghosts over 360-degree panoramas (verify)</x:v>
      </x:c>
      <x:c r="AD646" s="9" t="str">
        <x:v>Moderate</x:v>
      </x:c>
      <x:c r="AE646" s="9" t="str">
        <x:v>Single ending (verify)</x:v>
      </x:c>
      <x:c r="AF646" s="9" t="str">
        <x:v>Piranha Interactive was a small Arizona publisher that folded soon after.</x:v>
      </x:c>
      <x:c r="AG646" s="9" t="str">
        <x:v>3-CD box (verify)</x:v>
      </x:c>
      <x:c r="AH646" s="9" t="str">
        <x:v>No</x:v>
      </x:c>
      <x:c r="AI646" s="9" t="str">
        <x:v>Easy</x:v>
      </x:c>
      <x:c r="AJ646" s="9" t="str">
        <x:v>86Box/PCem for Windows 95-era titles</x:v>
      </x:c>
      <x:c r="AK646" s="9" t="str">
        <x:v>Price not fetched: the shared WebFetch budget ran out.</x:v>
      </x:c>
      <x:c r="AL646" s="10" t="n">
        <x:v>4.78</x:v>
      </x:c>
      <x:c r="AM646" s="10" t="n">
        <x:v>11.01</x:v>
      </x:c>
      <x:c r="AN646" s="10" t="n">
        <x:v>26.24</x:v>
      </x:c>
      <x:c r="AO646" s="9" t="str">
        <x:v>2026-10-24</x:v>
      </x:c>
      <x:c r="AP646" s="11" t="str">
        <x:f>HYPERLINK("https://www.pricecharting.com/game/pc-games/morpheus","PriceCharting")</x:f>
        <x:v>PriceCharting</x:v>
      </x:c>
      <x:c r="AQ646" s="9"/>
      <x:c r="AR646" s="9"/>
      <x:c r="AS646" s="9"/>
      <x:c r="AT646" s="9"/>
      <x:c r="AU646" s="9"/>
      <x:c r="AV646" s="9"/>
      <x:c r="AW646" s="9"/>
      <x:c r="AX646" s="9"/>
      <x:c r="AY646" s="9" t="str">
        <x:v>68%</x:v>
      </x:c>
      <x:c r="AZ646" s="9" t="str">
        <x:v>3.7</x:v>
      </x:c>
      <x:c r="BA646" s="11" t="str">
        <x:f>HYPERLINK("https://www.mobygames.com/game/windows/morpheus","MobyGames")</x:f>
        <x:v>MobyGames</x:v>
      </x:c>
      <x:c r="BB646" s="9"/>
      <x:c r="BC646" s="9"/>
      <x:c r="BD646" s="9"/>
      <x:c r="BE646" s="9"/>
      <x:c r="BF646" s="11" t="str">
        <x:f>HYPERLINK("https://backloggd.com/search/games/Morpheus/","Backloggd")</x:f>
        <x:v>Backloggd</x:v>
      </x:c>
      <x:c r="BG646" s="9"/>
      <x:c r="BH646" s="9"/>
      <x:c r="BI646" s="12" t="str">
        <x:v>No</x:v>
      </x:c>
      <x:c r="BJ646" s="12" t="str"/>
      <x:c r="BK646" s="12" t="str">
        <x:v>No</x:v>
      </x:c>
      <x:c r="BL646" s="12" t="str"/>
      <x:c r="BM646" s="12" t="str"/>
      <x:c r="BN646" s="12" t="str"/>
      <x:c r="BO646" s="12" t="str"/>
      <x:c r="BP646" s="12" t="str"/>
      <x:c r="BQ646" s="12" t="str"/>
    </x:row>
    <x:row r="647">
      <x:c r="A647" s="9" t="str">
        <x:v>pc-117</x:v>
      </x:c>
      <x:c r="B647" s="9" t="str">
        <x:v>drowned-god-conspiracy-of-the-ages</x:v>
      </x:c>
      <x:c r="C647" s="9" t="str">
        <x:v>PC</x:v>
      </x:c>
      <x:c r="D647" s="9" t="str">
        <x:v>Drowned God: Conspiracy of the Ages</x:v>
      </x:c>
      <x:c r="E647" s="9" t="str"/>
      <x:c r="F647" s="9" t="str">
        <x:v>Inner Workings (verify)</x:v>
      </x:c>
      <x:c r="G647" s="9" t="str">
        <x:v>Time Warner Interactive (verify)</x:v>
      </x:c>
      <x:c r="H647" s="9" t="n">
        <x:v>1996</x:v>
      </x:c>
      <x:c r="I647" s="9" t="str">
        <x:v>Yes</x:v>
      </x:c>
      <x:c r="J647" s="9" t="str">
        <x:v>No</x:v>
      </x:c>
      <x:c r="K647" s="9" t="str">
        <x:v>No</x:v>
      </x:c>
      <x:c r="L647" s="9" t="str">
        <x:v>No</x:v>
      </x:c>
      <x:c r="M647" s="9" t="str">
        <x:v>First-person conspiracy adventure</x:v>
      </x:c>
      <x:c r="N647" s="9" t="str">
        <x:v>Live-action + pre-rendered CG</x:v>
      </x:c>
      <x:c r="O647" s="9" t="n">
        <x:v>4</x:v>
      </x:c>
      <x:c r="P647" s="9" t="str">
        <x:v>FMV adventure</x:v>
      </x:c>
      <x:c r="Q647" s="9" t="str">
        <x:v>Released</x:v>
      </x:c>
      <x:c r="R647" s="9" t="str">
        <x:v>Original production</x:v>
      </x:c>
      <x:c r="S647" s="9" t="str">
        <x:v>—</x:v>
      </x:c>
      <x:c r="T647" s="9" t="str">
        <x:v>Unknown — verify</x:v>
      </x:c>
      <x:c r="U647" s="9" t="n">
        <x:v>2</x:v>
      </x:c>
      <x:c r="V647" s="9" t="str">
        <x:v>Yes</x:v>
      </x:c>
      <x:c r="W647" s="9" t="str">
        <x:v>486DX2/66, 8 MB RAM, 2x CD-ROM, SVGA; Win 3.1/95 (verify)</x:v>
      </x:c>
      <x:c r="X647" s="9" t="str">
        <x:v>Low</x:v>
      </x:c>
      <x:c r="Y647" s="9" t="str"/>
      <x:c r="Z647" s="9" t="str">
        <x:v>6–10 hr</x:v>
      </x:c>
      <x:c r="AA647" s="9" t="str">
        <x:v>Every conspiracy theory at once, from Atlantis to the Kennedy assassination, in a grim rendered adventure with filmed segments.</x:v>
      </x:c>
      <x:c r="AB647" s="9" t="str">
        <x:v>None known</x:v>
      </x:c>
      <x:c r="AC647" s="9" t="str">
        <x:v>Rendered transitions with live-action segments (verify)</x:v>
      </x:c>
      <x:c r="AD647" s="9" t="str">
        <x:v>Hard</x:v>
      </x:c>
      <x:c r="AE647" s="9" t="str">
        <x:v>Single ending (verify)</x:v>
      </x:c>
      <x:c r="AF647" s="9" t="str">
        <x:v>Marketed with a tie-in conspiracy book; widely panned for its puzzles (verify).</x:v>
      </x:c>
      <x:c r="AG647" s="9" t="str">
        <x:v>Unknown — verify</x:v>
      </x:c>
      <x:c r="AH647" s="9" t="str">
        <x:v>Yes (Steam, Next Path Media 2025: the original 1996 game)</x:v>
      </x:c>
      <x:c r="AI647" s="9" t="str">
        <x:v>Easy</x:v>
      </x:c>
      <x:c r="AJ647" s="9" t="str">
        <x:v>Steam; original discs in 86Box/PCem</x:v>
      </x:c>
      <x:c r="AK647" s="9" t="str">
        <x:v>Developer/publisher and video share unconfirmed; price not fetched (WebFetch budget ran out).</x:v>
      </x:c>
      <x:c r="AL647" s="10"/>
      <x:c r="AM647" s="10"/>
      <x:c r="AN647" s="10"/>
      <x:c r="AO647" s="9"/>
      <x:c r="AP647" s="11" t="str">
        <x:f>HYPERLINK("https://www.pricecharting.com/search-products?q=Drowned+God%3A+Conspiracy+of+the+Ages+pc+games&amp;type=prices","PriceCharting")</x:f>
        <x:v>PriceCharting</x:v>
      </x:c>
      <x:c r="AQ647" s="9" t="n">
        <x:v>6.99</x:v>
      </x:c>
      <x:c r="AR647" s="11" t="str">
        <x:v>Steam</x:v>
      </x:c>
      <x:c r="AS647" s="9" t="str">
        <x:f>HYPERLINK("https://store.steampowered.com/app/3320100/","Store")</x:f>
        <x:v>Store</x:v>
      </x:c>
      <x:c r="AT647" s="9" t="str">
        <x:v>2026-10-24</x:v>
      </x:c>
      <x:c r="AU647" s="9"/>
      <x:c r="AV647" s="9"/>
      <x:c r="AW647" s="9"/>
      <x:c r="AX647" s="9"/>
      <x:c r="AY647" s="9"/>
      <x:c r="AZ647" s="9"/>
      <x:c r="BA647" s="11" t="str">
        <x:f>HYPERLINK("https://www.mobygames.com/search/?q=Drowned+God%3A+Conspiracy+of+the+Ages","MobyGames")</x:f>
        <x:v>MobyGames</x:v>
      </x:c>
      <x:c r="BB647" s="9" t="str">
        <x:v>76%</x:v>
      </x:c>
      <x:c r="BC647" s="9" t="str">
        <x:v>GameRankings, 3 reviews</x:v>
      </x:c>
      <x:c r="BD647" s="9" t="str">
        <x:f>HYPERLINK("https://web.archive.org/web/20191209012304id_/https://www.gamerankings.com/pc/197166-drowned-god/","Source")</x:f>
        <x:v>Source</x:v>
      </x:c>
      <x:c r="BE647" s="9"/>
      <x:c r="BF647" s="11" t="str">
        <x:f>HYPERLINK("https://backloggd.com/search/games/Drowned%20God%3A%20Conspiracy%20of%20the%20Ages/","Backloggd")</x:f>
        <x:v>Backloggd</x:v>
      </x:c>
      <x:c r="BG647" s="9"/>
      <x:c r="BH647" s="9"/>
      <x:c r="BI647" s="12" t="str">
        <x:v>No</x:v>
      </x:c>
      <x:c r="BJ647" s="12" t="str"/>
      <x:c r="BK647" s="12" t="str">
        <x:v>No</x:v>
      </x:c>
      <x:c r="BL647" s="12" t="str"/>
      <x:c r="BM647" s="12" t="str"/>
      <x:c r="BN647" s="12" t="str"/>
      <x:c r="BO647" s="12" t="str"/>
      <x:c r="BP647" s="12" t="str"/>
      <x:c r="BQ647" s="12" t="str"/>
    </x:row>
    <x:row r="648">
      <x:c r="A648" s="9" t="str">
        <x:v>pc-118</x:v>
      </x:c>
      <x:c r="B648" s="9" t="str">
        <x:v>the-dark-eye</x:v>
      </x:c>
      <x:c r="C648" s="9" t="str">
        <x:v>PC</x:v>
      </x:c>
      <x:c r="D648" s="9" t="str">
        <x:v>The Dark Eye</x:v>
      </x:c>
      <x:c r="E648" s="9" t="str"/>
      <x:c r="F648" s="9" t="str">
        <x:v>Inscape</x:v>
      </x:c>
      <x:c r="G648" s="9" t="str">
        <x:v>Inscape</x:v>
      </x:c>
      <x:c r="H648" s="9" t="n">
        <x:v>1995</x:v>
      </x:c>
      <x:c r="I648" s="9" t="str">
        <x:v>Yes</x:v>
      </x:c>
      <x:c r="J648" s="9" t="str">
        <x:v>No</x:v>
      </x:c>
      <x:c r="K648" s="9" t="str">
        <x:v>Yes</x:v>
      </x:c>
      <x:c r="L648" s="9" t="str">
        <x:v>No</x:v>
      </x:c>
      <x:c r="M648" s="9" t="str">
        <x:v>First-person horror adventure</x:v>
      </x:c>
      <x:c r="N648" s="9" t="str">
        <x:v>Animated</x:v>
      </x:c>
      <x:c r="O648" s="9" t="n">
        <x:v>5</x:v>
      </x:c>
      <x:c r="P648" s="9" t="str">
        <x:v>FMV adventure</x:v>
      </x:c>
      <x:c r="Q648" s="9" t="str">
        <x:v>Released</x:v>
      </x:c>
      <x:c r="R648" s="9" t="str">
        <x:v>Edgar Allan Poe stories</x:v>
      </x:c>
      <x:c r="S648" s="9" t="str">
        <x:v>Mac</x:v>
      </x:c>
      <x:c r="T648" s="9" t="str">
        <x:v>William S. Burroughs (narration of 'Annabel Lee' and 'The Masque of the Red Death')</x:v>
      </x:c>
      <x:c r="U648" s="9" t="n">
        <x:v>1</x:v>
      </x:c>
      <x:c r="V648" s="9" t="str">
        <x:v>Yes</x:v>
      </x:c>
      <x:c r="W648" s="9" t="str">
        <x:v>486/33, 8 MB RAM, 2x CD-ROM, SVGA; Windows 3.1 (verify)</x:v>
      </x:c>
      <x:c r="X648" s="9" t="str">
        <x:v>Low</x:v>
      </x:c>
      <x:c r="Y648" s="9" t="str"/>
      <x:c r="Z648" s="9" t="str">
        <x:v>3–5 hr</x:v>
      </x:c>
      <x:c r="AA648" s="9" t="str">
        <x:v>Stop-motion clay puppets act out Poe's murders from both killer and victim, narrated in part by William S. Burroughs.</x:v>
      </x:c>
      <x:c r="AB648" s="9" t="str">
        <x:v>None known</x:v>
      </x:c>
      <x:c r="AC648" s="9" t="str">
        <x:v>Stop-motion animation clips over rendered rooms (verify)</x:v>
      </x:c>
      <x:c r="AD648" s="9" t="str">
        <x:v>Easy; exploration more than puzzles</x:v>
      </x:c>
      <x:c r="AE648" s="9" t="str">
        <x:v>Single ending</x:v>
      </x:c>
      <x:c r="AF648" s="9" t="str">
        <x:v>Music and sound design by Thomas Dolby's Headspace (verify).</x:v>
      </x:c>
      <x:c r="AG648" s="9" t="str">
        <x:v>Win/Mac hybrid jewel case</x:v>
      </x:c>
      <x:c r="AH648" s="9" t="str">
        <x:v>No</x:v>
      </x:c>
      <x:c r="AI648" s="9" t="str">
        <x:v>Easy</x:v>
      </x:c>
      <x:c r="AJ648" s="9" t="str">
        <x:v>86Box/PCem for Windows 3.1/95-era titles</x:v>
      </x:c>
      <x:c r="AK648" s="9" t="str">
        <x:v>Price not fetched: the shared WebFetch budget ran out.</x:v>
      </x:c>
      <x:c r="AL648" s="10" t="n">
        <x:v>14</x:v>
      </x:c>
      <x:c r="AM648" s="10" t="n">
        <x:v>25.5</x:v>
      </x:c>
      <x:c r="AN648" s="10" t="n">
        <x:v>51</x:v>
      </x:c>
      <x:c r="AO648" s="9" t="str">
        <x:v>2026-10-24</x:v>
      </x:c>
      <x:c r="AP648" s="11" t="str">
        <x:f>HYPERLINK("https://www.pricecharting.com/game/pc-games/the-dark-eye","PriceCharting")</x:f>
        <x:v>PriceCharting</x:v>
      </x:c>
      <x:c r="AQ648" s="9"/>
      <x:c r="AR648" s="9"/>
      <x:c r="AS648" s="9"/>
      <x:c r="AT648" s="9"/>
      <x:c r="AU648" s="9"/>
      <x:c r="AV648" s="9"/>
      <x:c r="AW648" s="9"/>
      <x:c r="AX648" s="9"/>
      <x:c r="AY648" s="9" t="str">
        <x:v>71%</x:v>
      </x:c>
      <x:c r="AZ648" s="9" t="str">
        <x:v>4.0</x:v>
      </x:c>
      <x:c r="BA648" s="11" t="str">
        <x:f>HYPERLINK("https://www.mobygames.com/game/windows/dark-eye","MobyGames")</x:f>
        <x:v>MobyGames</x:v>
      </x:c>
      <x:c r="BB648" s="9"/>
      <x:c r="BC648" s="9"/>
      <x:c r="BD648" s="9"/>
      <x:c r="BE648" s="11" t="str">
        <x:f>HYPERLINK("https://en.wikipedia.org/wiki/The_Dark_Eye_(video_game)","Wikipedia")</x:f>
        <x:v>Wikipedia</x:v>
      </x:c>
      <x:c r="BF648" s="11" t="str">
        <x:f>HYPERLINK("https://backloggd.com/search/games/The%20Dark%20Eye/","Backloggd")</x:f>
        <x:v>Backloggd</x:v>
      </x:c>
      <x:c r="BG648" s="9"/>
      <x:c r="BH648" s="9"/>
      <x:c r="BI648" s="12" t="str">
        <x:v>No</x:v>
      </x:c>
      <x:c r="BJ648" s="12" t="str"/>
      <x:c r="BK648" s="12" t="str">
        <x:v>No</x:v>
      </x:c>
      <x:c r="BL648" s="12" t="str"/>
      <x:c r="BM648" s="12" t="str"/>
      <x:c r="BN648" s="12" t="str"/>
      <x:c r="BO648" s="12" t="str"/>
      <x:c r="BP648" s="12" t="str"/>
      <x:c r="BQ648" s="12" t="str"/>
    </x:row>
    <x:row r="649">
      <x:c r="A649" s="9" t="str">
        <x:v>pc-119</x:v>
      </x:c>
      <x:c r="B649" s="9" t="str">
        <x:v>amber-journeys-beyond</x:v>
      </x:c>
      <x:c r="C649" s="9" t="str">
        <x:v>PC</x:v>
      </x:c>
      <x:c r="D649" s="9" t="str">
        <x:v>Amber: Journeys Beyond</x:v>
      </x:c>
      <x:c r="E649" s="9" t="str"/>
      <x:c r="F649" s="9" t="str">
        <x:v>Hue Forest Entertainment</x:v>
      </x:c>
      <x:c r="G649" s="9" t="str">
        <x:v>Hue Forest Entertainment</x:v>
      </x:c>
      <x:c r="H649" s="9" t="n">
        <x:v>1996</x:v>
      </x:c>
      <x:c r="I649" s="9" t="str">
        <x:v>Yes</x:v>
      </x:c>
      <x:c r="J649" s="9" t="str">
        <x:v>No</x:v>
      </x:c>
      <x:c r="K649" s="9" t="str">
        <x:v>No</x:v>
      </x:c>
      <x:c r="L649" s="9" t="str">
        <x:v>No</x:v>
      </x:c>
      <x:c r="M649" s="9" t="str">
        <x:v>First-person paranormal adventure</x:v>
      </x:c>
      <x:c r="N649" s="9" t="str">
        <x:v>Live-action + pre-rendered CG</x:v>
      </x:c>
      <x:c r="O649" s="9" t="n">
        <x:v>4</x:v>
      </x:c>
      <x:c r="P649" s="9" t="str">
        <x:v>FMV adventure</x:v>
      </x:c>
      <x:c r="Q649" s="9" t="str">
        <x:v>Released</x:v>
      </x:c>
      <x:c r="R649" s="9" t="str">
        <x:v>Original production</x:v>
      </x:c>
      <x:c r="S649" s="9" t="str">
        <x:v>Mac</x:v>
      </x:c>
      <x:c r="T649" s="9" t="str">
        <x:v>Unknown — verify</x:v>
      </x:c>
      <x:c r="U649" s="9" t="n">
        <x:v>1</x:v>
      </x:c>
      <x:c r="V649" s="9" t="str">
        <x:v>Yes</x:v>
      </x:c>
      <x:c r="W649" s="9" t="str">
        <x:v>486DX2/66, 8 MB RAM, 2x CD-ROM, SVGA; Windows 3.1/95 (verify)</x:v>
      </x:c>
      <x:c r="X649" s="9" t="str">
        <x:v>Low</x:v>
      </x:c>
      <x:c r="Y649" s="9" t="str"/>
      <x:c r="Z649" s="9" t="str">
        <x:v>3–5 hr</x:v>
      </x:c>
      <x:c r="AA649" s="9" t="str">
        <x:v>A ghost-hunting device stuck in a haunted house lets you see the dead relive their last moments in live-action video.</x:v>
      </x:c>
      <x:c r="AB649" s="9" t="str">
        <x:v>None known</x:v>
      </x:c>
      <x:c r="AC649" s="9" t="str">
        <x:v>Live-action ghost clips over rendered house (verify)</x:v>
      </x:c>
      <x:c r="AD649" s="9" t="str">
        <x:v>Moderate</x:v>
      </x:c>
      <x:c r="AE649" s="9" t="str">
        <x:v>Single ending (verify)</x:v>
      </x:c>
      <x:c r="AF649" s="9" t="str">
        <x:v>Made by a tiny Montana husband-and-wife studio (verify).</x:v>
      </x:c>
      <x:c r="AG649" s="9" t="str">
        <x:v>Unknown — verify</x:v>
      </x:c>
      <x:c r="AH649" s="9" t="str">
        <x:v>No</x:v>
      </x:c>
      <x:c r="AI649" s="9" t="str">
        <x:v>Easy</x:v>
      </x:c>
      <x:c r="AJ649" s="9" t="str">
        <x:v>86Box/PCem for Windows 95-era titles</x:v>
      </x:c>
      <x:c r="AK649" s="9" t="str">
        <x:v>Price not fetched: the shared WebFetch budget ran out.</x:v>
      </x:c>
      <x:c r="AL649" s="10"/>
      <x:c r="AM649" s="10"/>
      <x:c r="AN649" s="10"/>
      <x:c r="AO649" s="9"/>
      <x:c r="AP649" s="11" t="str">
        <x:f>HYPERLINK("https://www.pricecharting.com/search-products?q=Amber%3A+Journeys+Beyond+pc+games&amp;type=prices","PriceCharting")</x:f>
        <x:v>PriceCharting</x:v>
      </x:c>
      <x:c r="AQ649" s="9"/>
      <x:c r="AR649" s="9"/>
      <x:c r="AS649" s="9"/>
      <x:c r="AT649" s="9"/>
      <x:c r="AU649" s="9" t="str">
        <x:v>No market</x:v>
      </x:c>
      <x:c r="AV649" s="9" t="str">
        <x:v>Not sold on Steam or GOG (checked 2026-10-25) and no PriceCharting listing.</x:v>
      </x:c>
      <x:c r="AW649" s="9"/>
      <x:c r="AX649" s="9"/>
      <x:c r="AY649" s="9" t="str">
        <x:v>74%</x:v>
      </x:c>
      <x:c r="AZ649" s="9" t="str">
        <x:v>3.7</x:v>
      </x:c>
      <x:c r="BA649" s="11" t="str">
        <x:f>HYPERLINK("https://www.mobygames.com/game/windows/amber-journeys-beyond","MobyGames")</x:f>
        <x:v>MobyGames</x:v>
      </x:c>
      <x:c r="BB649" s="9"/>
      <x:c r="BC649" s="9"/>
      <x:c r="BD649" s="9"/>
      <x:c r="BE649" s="9"/>
      <x:c r="BF649" s="11" t="str">
        <x:f>HYPERLINK("https://backloggd.com/search/games/Amber%3A%20Journeys%20Beyond/","Backloggd")</x:f>
        <x:v>Backloggd</x:v>
      </x:c>
      <x:c r="BG649" s="9"/>
      <x:c r="BH649" s="9"/>
      <x:c r="BI649" s="12" t="str">
        <x:v>No</x:v>
      </x:c>
      <x:c r="BJ649" s="12" t="str"/>
      <x:c r="BK649" s="12" t="str">
        <x:v>No</x:v>
      </x:c>
      <x:c r="BL649" s="12" t="str"/>
      <x:c r="BM649" s="12" t="str"/>
      <x:c r="BN649" s="12" t="str"/>
      <x:c r="BO649" s="12" t="str"/>
      <x:c r="BP649" s="12" t="str"/>
      <x:c r="BQ649" s="12" t="str"/>
    </x:row>
    <x:row r="650">
      <x:c r="A650" s="9" t="str">
        <x:v>pc-120</x:v>
      </x:c>
      <x:c r="B650" s="9" t="str">
        <x:v>timelapse</x:v>
      </x:c>
      <x:c r="C650" s="9" t="str">
        <x:v>PC</x:v>
      </x:c>
      <x:c r="D650" s="9" t="str">
        <x:v>Timelapse</x:v>
      </x:c>
      <x:c r="E650" s="9" t="str"/>
      <x:c r="F650" s="9" t="str">
        <x:v>GTE Entertainment</x:v>
      </x:c>
      <x:c r="G650" s="9" t="str">
        <x:v>GTE Entertainment</x:v>
      </x:c>
      <x:c r="H650" s="9" t="n">
        <x:v>1996</x:v>
      </x:c>
      <x:c r="I650" s="9" t="str">
        <x:v>Yes</x:v>
      </x:c>
      <x:c r="J650" s="9" t="str">
        <x:v>No</x:v>
      </x:c>
      <x:c r="K650" s="9" t="str">
        <x:v>Yes</x:v>
      </x:c>
      <x:c r="L650" s="9" t="str">
        <x:v>No</x:v>
      </x:c>
      <x:c r="M650" s="9" t="str">
        <x:v>First-person puzzle adventure</x:v>
      </x:c>
      <x:c r="N650" s="9" t="str">
        <x:v>Live-action + pre-rendered CG</x:v>
      </x:c>
      <x:c r="O650" s="9" t="n">
        <x:v>4</x:v>
      </x:c>
      <x:c r="P650" s="9" t="str">
        <x:v>FMV adventure</x:v>
      </x:c>
      <x:c r="Q650" s="9" t="str">
        <x:v>Released</x:v>
      </x:c>
      <x:c r="R650" s="9" t="str">
        <x:v>Original production</x:v>
      </x:c>
      <x:c r="S650" s="9" t="str">
        <x:v>Mac</x:v>
      </x:c>
      <x:c r="T650" s="9" t="str">
        <x:v>Unknown — verify</x:v>
      </x:c>
      <x:c r="U650" s="9" t="n">
        <x:v>2</x:v>
      </x:c>
      <x:c r="V650" s="9" t="str">
        <x:v>Yes</x:v>
      </x:c>
      <x:c r="W650" s="9" t="str">
        <x:v>486DX2/66, 8 MB RAM, 2x CD-ROM, SVGA; Windows 3.1/95 (verify)</x:v>
      </x:c>
      <x:c r="X650" s="9" t="str">
        <x:v>Low</x:v>
      </x:c>
      <x:c r="Y650" s="9" t="str"/>
      <x:c r="Z650" s="9" t="str">
        <x:v>8–12 hr</x:v>
      </x:c>
      <x:c r="AA650" s="9" t="str">
        <x:v>Follow a missing archaeologist's filmed messages through Easter Island, Egypt, the Maya and Atlantis.</x:v>
      </x:c>
      <x:c r="AB650" s="9" t="str">
        <x:v>None known</x:v>
      </x:c>
      <x:c r="AC650" s="9" t="str">
        <x:v>Live-action clips over rendered scenes (verify)</x:v>
      </x:c>
      <x:c r="AD650" s="9" t="str">
        <x:v>Moderate to hard</x:v>
      </x:c>
      <x:c r="AE650" s="9" t="str">
        <x:v>Single ending (verify)</x:v>
      </x:c>
      <x:c r="AF650" s="9" t="str">
        <x:v>One of the higher-budget Myst imitators of 1996 (verify).</x:v>
      </x:c>
      <x:c r="AG650" s="9" t="str">
        <x:v>Unknown — verify</x:v>
      </x:c>
      <x:c r="AH650" s="9" t="str">
        <x:v>Yes (Steam and GOG, Nightdive re-release)</x:v>
      </x:c>
      <x:c r="AI650" s="9" t="str">
        <x:v>Easy</x:v>
      </x:c>
      <x:c r="AJ650" s="9" t="str">
        <x:v>Steam or GOG re-release for Windows.</x:v>
      </x:c>
      <x:c r="AK650" s="9" t="str">
        <x:v>Price not fetched: the shared WebFetch budget ran out.</x:v>
      </x:c>
      <x:c r="AL650" s="10"/>
      <x:c r="AM650" s="10"/>
      <x:c r="AN650" s="10"/>
      <x:c r="AO650" s="9"/>
      <x:c r="AP650" s="11" t="str">
        <x:f>HYPERLINK("https://www.pricecharting.com/search-products?q=Timelapse+pc+games&amp;type=prices","PriceCharting")</x:f>
        <x:v>PriceCharting</x:v>
      </x:c>
      <x:c r="AQ650" s="9" t="n">
        <x:v>5.99</x:v>
      </x:c>
      <x:c r="AR650" s="11" t="str">
        <x:v>GOG</x:v>
      </x:c>
      <x:c r="AS650" s="9" t="str">
        <x:f>HYPERLINK("https://www.gog.com/en/game/timelapse","Store")</x:f>
        <x:v>Store</x:v>
      </x:c>
      <x:c r="AT650" s="9" t="str">
        <x:v>2026-10-25</x:v>
      </x:c>
      <x:c r="AU650" s="9"/>
      <x:c r="AV650" s="9"/>
      <x:c r="AW650" s="9"/>
      <x:c r="AX650" s="9"/>
      <x:c r="AY650" s="9" t="str">
        <x:v>77%</x:v>
      </x:c>
      <x:c r="AZ650" s="9" t="str">
        <x:v>3.7</x:v>
      </x:c>
      <x:c r="BA650" s="11" t="str">
        <x:f>HYPERLINK("https://www.mobygames.com/game/windows/timelapse","MobyGames")</x:f>
        <x:v>MobyGames</x:v>
      </x:c>
      <x:c r="BB650" s="9"/>
      <x:c r="BC650" s="9"/>
      <x:c r="BD650" s="9"/>
      <x:c r="BE650" s="11" t="str">
        <x:f>HYPERLINK("https://en.wikipedia.org/wiki/Timelapse_(video_game)","Wikipedia")</x:f>
        <x:v>Wikipedia</x:v>
      </x:c>
      <x:c r="BF650" s="11" t="str">
        <x:f>HYPERLINK("https://backloggd.com/search/games/Timelapse/","Backloggd")</x:f>
        <x:v>Backloggd</x:v>
      </x:c>
      <x:c r="BG650" s="9"/>
      <x:c r="BH650" s="9"/>
      <x:c r="BI650" s="12" t="str">
        <x:v>No</x:v>
      </x:c>
      <x:c r="BJ650" s="12" t="str"/>
      <x:c r="BK650" s="12" t="str">
        <x:v>No</x:v>
      </x:c>
      <x:c r="BL650" s="12" t="str"/>
      <x:c r="BM650" s="12" t="str"/>
      <x:c r="BN650" s="12" t="str"/>
      <x:c r="BO650" s="12" t="str"/>
      <x:c r="BP650" s="12" t="str"/>
      <x:c r="BQ650" s="12" t="str"/>
    </x:row>
    <x:row r="651">
      <x:c r="A651" s="9" t="str">
        <x:v>pc-121</x:v>
      </x:c>
      <x:c r="B651" s="9" t="str">
        <x:v>mummy-tomb-of-the-pharaoh</x:v>
      </x:c>
      <x:c r="C651" s="9" t="str">
        <x:v>PC</x:v>
      </x:c>
      <x:c r="D651" s="9" t="str">
        <x:v>Mummy: Tomb of the Pharaoh</x:v>
      </x:c>
      <x:c r="E651" s="9" t="str"/>
      <x:c r="F651" s="9" t="str">
        <x:v>Amazing Media</x:v>
      </x:c>
      <x:c r="G651" s="9" t="str">
        <x:v>Interplay Productions</x:v>
      </x:c>
      <x:c r="H651" s="9" t="n">
        <x:v>1996</x:v>
      </x:c>
      <x:c r="I651" s="9" t="str">
        <x:v>Yes</x:v>
      </x:c>
      <x:c r="J651" s="9" t="str">
        <x:v>No</x:v>
      </x:c>
      <x:c r="K651" s="9" t="str">
        <x:v>No</x:v>
      </x:c>
      <x:c r="L651" s="9" t="str">
        <x:v>No</x:v>
      </x:c>
      <x:c r="M651" s="9" t="str">
        <x:v>First-person adventure</x:v>
      </x:c>
      <x:c r="N651" s="9" t="str">
        <x:v>Live-action + pre-rendered CG</x:v>
      </x:c>
      <x:c r="O651" s="9" t="n">
        <x:v>4</x:v>
      </x:c>
      <x:c r="P651" s="9" t="str">
        <x:v>FMV adventure</x:v>
      </x:c>
      <x:c r="Q651" s="9" t="str">
        <x:v>Released</x:v>
      </x:c>
      <x:c r="R651" s="9" t="str">
        <x:v>Original production</x:v>
      </x:c>
      <x:c r="S651" s="9" t="str">
        <x:v>Mac OS</x:v>
      </x:c>
      <x:c r="T651" s="9" t="str">
        <x:v>Malcolm McDowell (Stuart Davenport)</x:v>
      </x:c>
      <x:c r="U651" s="9" t="n">
        <x:v>1</x:v>
      </x:c>
      <x:c r="V651" s="9" t="str">
        <x:v>Unknown — verify</x:v>
      </x:c>
      <x:c r="W651" s="9" t="str">
        <x:v>Unknown — verify (Windows 95-era)</x:v>
      </x:c>
      <x:c r="X651" s="9" t="str">
        <x:v>Low</x:v>
      </x:c>
      <x:c r="Y651" s="9" t="str"/>
      <x:c r="Z651" s="9" t="str">
        <x:v>Unknown — verify</x:v>
      </x:c>
      <x:c r="AA651" s="9" t="str">
        <x:v>A 1920s archaeological dig in Egypt, a tomb and a curse, played as a rendered adventure with filmed characters.</x:v>
      </x:c>
      <x:c r="AB651" s="9" t="str">
        <x:v>None known</x:v>
      </x:c>
      <x:c r="AC651" s="9" t="str">
        <x:v>Unknown — verify</x:v>
      </x:c>
      <x:c r="AD651" s="9" t="str">
        <x:v>Unknown — verify</x:v>
      </x:c>
      <x:c r="AE651" s="9" t="str">
        <x:v>Unknown — verify</x:v>
      </x:c>
      <x:c r="AF651" s="9" t="str">
        <x:v>Unknown — verify</x:v>
      </x:c>
      <x:c r="AG651" s="9" t="str">
        <x:v>Unknown — verify</x:v>
      </x:c>
      <x:c r="AH651" s="9" t="str">
        <x:v>No</x:v>
      </x:c>
      <x:c r="AI651" s="9" t="str">
        <x:v>Easy</x:v>
      </x:c>
      <x:c r="AJ651" s="9" t="str">
        <x:v>86Box/PCem for Windows 95-era titles</x:v>
      </x:c>
      <x:c r="AK651" s="9" t="str">
        <x:v>Almost nothing confirmed; research budget ran out. Year, developer and video content all need checking before inclusion.</x:v>
      </x:c>
      <x:c r="AL651" s="10"/>
      <x:c r="AM651" s="10" t="n">
        <x:v>14.5</x:v>
      </x:c>
      <x:c r="AN651" s="10" t="n">
        <x:v>29</x:v>
      </x:c>
      <x:c r="AO651" s="9" t="str">
        <x:v>2026-10-24</x:v>
      </x:c>
      <x:c r="AP651" s="11" t="str">
        <x:f>HYPERLINK("https://www.pricecharting.com/game/pc-games/mummy-tomb-of-the-pharaoh-big-box","PriceCharting")</x:f>
        <x:v>PriceCharting</x:v>
      </x:c>
      <x:c r="AQ651" s="9"/>
      <x:c r="AR651" s="9"/>
      <x:c r="AS651" s="9"/>
      <x:c r="AT651" s="9"/>
      <x:c r="AU651" s="9"/>
      <x:c r="AV651" s="9"/>
      <x:c r="AW651" s="9"/>
      <x:c r="AX651" s="9"/>
      <x:c r="AY651" s="9" t="str">
        <x:v>57%</x:v>
      </x:c>
      <x:c r="AZ651" s="9"/>
      <x:c r="BA651" s="11" t="str">
        <x:f>HYPERLINK("https://www.mobygames.com/game/windows/mummy-tomb-of-the-pharaoh","MobyGames")</x:f>
        <x:v>MobyGames</x:v>
      </x:c>
      <x:c r="BB651" s="9"/>
      <x:c r="BC651" s="9"/>
      <x:c r="BD651" s="9"/>
      <x:c r="BE651" s="9"/>
      <x:c r="BF651" s="11" t="str">
        <x:f>HYPERLINK("https://backloggd.com/search/games/Mummy%3A%20Tomb%20of%20the%20Pharaoh/","Backloggd")</x:f>
        <x:v>Backloggd</x:v>
      </x:c>
      <x:c r="BG651" s="9"/>
      <x:c r="BH651" s="9"/>
      <x:c r="BI651" s="12" t="str">
        <x:v>No</x:v>
      </x:c>
      <x:c r="BJ651" s="12" t="str"/>
      <x:c r="BK651" s="12" t="str">
        <x:v>No</x:v>
      </x:c>
      <x:c r="BL651" s="12" t="str"/>
      <x:c r="BM651" s="12" t="str"/>
      <x:c r="BN651" s="12" t="str"/>
      <x:c r="BO651" s="12" t="str"/>
      <x:c r="BP651" s="12" t="str"/>
      <x:c r="BQ651" s="12" t="str"/>
    </x:row>
    <x:row r="652">
      <x:c r="A652" s="9" t="str">
        <x:v>pc-122</x:v>
      </x:c>
      <x:c r="B652" s="9" t="str">
        <x:v>gadget-past-as-future</x:v>
      </x:c>
      <x:c r="C652" s="9" t="str">
        <x:v>PC</x:v>
      </x:c>
      <x:c r="D652" s="9" t="str">
        <x:v>Gadget: Invention, Travel &amp; Adventure</x:v>
      </x:c>
      <x:c r="E652" s="9" t="str">
        <x:v>Gadget: Past as Future (later edition)</x:v>
      </x:c>
      <x:c r="F652" s="9" t="str">
        <x:v>Synergy Inc. (Haruhiko Shono)</x:v>
      </x:c>
      <x:c r="G652" s="9" t="str">
        <x:v>Synergy Interactive (NA); Synergy (JP)</x:v>
      </x:c>
      <x:c r="H652" s="9" t="n">
        <x:v>1994</x:v>
      </x:c>
      <x:c r="I652" s="9" t="str">
        <x:v>Yes</x:v>
      </x:c>
      <x:c r="J652" s="9" t="str">
        <x:v>Yes</x:v>
      </x:c>
      <x:c r="K652" s="9" t="str">
        <x:v>No</x:v>
      </x:c>
      <x:c r="L652" s="9" t="str">
        <x:v>No</x:v>
      </x:c>
      <x:c r="M652" s="9" t="str">
        <x:v>Interactive movie / exploration</x:v>
      </x:c>
      <x:c r="N652" s="9" t="str">
        <x:v>Pre-rendered CG</x:v>
      </x:c>
      <x:c r="O652" s="9" t="n">
        <x:v>8</x:v>
      </x:c>
      <x:c r="P652" s="9" t="str">
        <x:v>Pre-rendered CG</x:v>
      </x:c>
      <x:c r="Q652" s="9" t="str">
        <x:v>Released</x:v>
      </x:c>
      <x:c r="R652" s="9" t="str">
        <x:v>Original production (Mac original, 1993 JP)</x:v>
      </x:c>
      <x:c r="S652" s="9" t="str">
        <x:v>Mac; PlayStation and Saturn (as Gadget: Past as Future)</x:v>
      </x:c>
      <x:c r="T652" s="9" t="str">
        <x:v>—</x:v>
      </x:c>
      <x:c r="U652" s="9" t="n">
        <x:v>1</x:v>
      </x:c>
      <x:c r="V652" s="9" t="str">
        <x:v>Yes</x:v>
      </x:c>
      <x:c r="W652" s="9" t="str">
        <x:v>486/33, 8 MB RAM, 2x CD-ROM, 256-colour SVGA; Windows 3.1 (verify)</x:v>
      </x:c>
      <x:c r="X652" s="9" t="str">
        <x:v>Low</x:v>
      </x:c>
      <x:c r="Y652" s="9" t="str"/>
      <x:c r="Z652" s="9" t="str">
        <x:v>2–3 hr</x:v>
      </x:c>
      <x:c r="AA652" s="9" t="str">
        <x:v>A brooding rendered train journey through a retro-futurist city waiting for a comet, with nearly every move a streamed CG clip.</x:v>
      </x:c>
      <x:c r="AB652" s="9" t="str">
        <x:v>None known</x:v>
      </x:c>
      <x:c r="AC652" s="9" t="str">
        <x:v>QuickTime pre-rendered sequences in a letterboxed window (verify size/fps)</x:v>
      </x:c>
      <x:c r="AD652" s="9" t="str">
        <x:v>Easy; very little to fail</x:v>
      </x:c>
      <x:c r="AE652" s="9" t="str">
        <x:v>Single ending</x:v>
      </x:c>
      <x:c r="AF652" s="9" t="str">
        <x:v>Haruhiko Shono's art-house CG piece was praised by David Bowie and others; Synergy also made Alice and L-Zone (verify).</x:v>
      </x:c>
      <x:c r="AG652" s="9" t="str">
        <x:v>Win/Mac hybrid; JP edition</x:v>
      </x:c>
      <x:c r="AH652" s="9" t="str">
        <x:v>No</x:v>
      </x:c>
      <x:c r="AI652" s="9" t="str">
        <x:v>Easy</x:v>
      </x:c>
      <x:c r="AJ652" s="9" t="str">
        <x:v>86Box/PCem for Windows 3.1-era titles</x:v>
      </x:c>
      <x:c r="AK652" s="9" t="str">
        <x:v>PC year 1994 (Mac 1993) per common sources (verify). Price not fetched (WebFetch budget ran out).</x:v>
      </x:c>
      <x:c r="AL652" s="10" t="n">
        <x:v>11.48</x:v>
      </x:c>
      <x:c r="AM652" s="10" t="n">
        <x:v>42.49</x:v>
      </x:c>
      <x:c r="AN652" s="10" t="n">
        <x:v>85</x:v>
      </x:c>
      <x:c r="AO652" s="9" t="str">
        <x:v>2026-10-24</x:v>
      </x:c>
      <x:c r="AP652" s="11" t="str">
        <x:f>HYPERLINK("https://www.pricecharting.com/game/pc-games/gadget-invention-travel-&amp;amp;-adventure","PriceCharting")</x:f>
        <x:v>PriceCharting</x:v>
      </x:c>
      <x:c r="AQ652" s="9"/>
      <x:c r="AR652" s="9"/>
      <x:c r="AS652" s="9"/>
      <x:c r="AT652" s="9"/>
      <x:c r="AU652" s="9"/>
      <x:c r="AV652" s="9"/>
      <x:c r="AW652" s="9"/>
      <x:c r="AX652" s="9"/>
      <x:c r="AY652" s="9"/>
      <x:c r="AZ652" s="9"/>
      <x:c r="BA652" s="11" t="str">
        <x:f>HYPERLINK("https://www.mobygames.com/search/?q=Gadget%3A+Invention%2C+Travel+%26+Adventure","MobyGames")</x:f>
        <x:v>MobyGames</x:v>
      </x:c>
      <x:c r="BB652" s="9" t="str">
        <x:v>40%</x:v>
      </x:c>
      <x:c r="BC652" s="9" t="str">
        <x:v>GameRankings, 2 reviews</x:v>
      </x:c>
      <x:c r="BD652" s="9" t="str">
        <x:f>HYPERLINK("https://web.archive.org/web/20191209012911id_/https://www.gamerankings.com/pc/564941-gadget-invention-travel-and-adventure/","Source")</x:f>
        <x:v>Source</x:v>
      </x:c>
      <x:c r="BE652" s="11" t="str">
        <x:f>HYPERLINK("https://en.wikipedia.org/wiki/Gadget:_Invention,_Travel,_%26_Adventure","Wikipedia")</x:f>
        <x:v>Wikipedia</x:v>
      </x:c>
      <x:c r="BF652" s="11" t="str">
        <x:f>HYPERLINK("https://backloggd.com/search/games/Gadget%3A%20Invention%2C%20Travel%20%26%20Adventure/","Backloggd")</x:f>
        <x:v>Backloggd</x:v>
      </x:c>
      <x:c r="BG652" s="9"/>
      <x:c r="BH652" s="9"/>
      <x:c r="BI652" s="12" t="str">
        <x:v>No</x:v>
      </x:c>
      <x:c r="BJ652" s="12" t="str"/>
      <x:c r="BK652" s="12" t="str">
        <x:v>No</x:v>
      </x:c>
      <x:c r="BL652" s="12" t="str"/>
      <x:c r="BM652" s="12" t="str"/>
      <x:c r="BN652" s="12" t="str"/>
      <x:c r="BO652" s="12" t="str"/>
      <x:c r="BP652" s="12" t="str"/>
      <x:c r="BQ652" s="12" t="str"/>
    </x:row>
    <x:row r="653">
      <x:c r="A653" s="9" t="str">
        <x:v>pc-123</x:v>
      </x:c>
      <x:c r="B653" s="9" t="str">
        <x:v>total-distortion</x:v>
      </x:c>
      <x:c r="C653" s="9" t="str">
        <x:v>PC</x:v>
      </x:c>
      <x:c r="D653" s="9" t="str">
        <x:v>Total Distortion</x:v>
      </x:c>
      <x:c r="E653" s="9" t="str"/>
      <x:c r="F653" s="9" t="str">
        <x:v>Pop Rocket</x:v>
      </x:c>
      <x:c r="G653" s="9" t="str">
        <x:v>Pop Rocket</x:v>
      </x:c>
      <x:c r="H653" s="9" t="n">
        <x:v>1995</x:v>
      </x:c>
      <x:c r="I653" s="9" t="str">
        <x:v>Yes</x:v>
      </x:c>
      <x:c r="J653" s="9" t="str">
        <x:v>No</x:v>
      </x:c>
      <x:c r="K653" s="9" t="str">
        <x:v>No</x:v>
      </x:c>
      <x:c r="L653" s="9" t="str">
        <x:v>No</x:v>
      </x:c>
      <x:c r="M653" s="9" t="str">
        <x:v>Adventure / music video creation</x:v>
      </x:c>
      <x:c r="N653" s="9" t="str">
        <x:v>Live-action + CG</x:v>
      </x:c>
      <x:c r="O653" s="9" t="n">
        <x:v>6</x:v>
      </x:c>
      <x:c r="P653" s="9" t="str">
        <x:v>FMV adventure</x:v>
      </x:c>
      <x:c r="Q653" s="9" t="str">
        <x:v>Released</x:v>
      </x:c>
      <x:c r="R653" s="9" t="str">
        <x:v>Original production</x:v>
      </x:c>
      <x:c r="S653" s="9" t="str">
        <x:v>Mac</x:v>
      </x:c>
      <x:c r="T653" s="9" t="str">
        <x:v>Unknown — verify</x:v>
      </x:c>
      <x:c r="U653" s="9" t="n">
        <x:v>1</x:v>
      </x:c>
      <x:c r="V653" s="9" t="str">
        <x:v>Yes</x:v>
      </x:c>
      <x:c r="W653" s="9" t="str">
        <x:v>486/66, 8 MB RAM, 2x CD-ROM, SVGA; Windows 3.1/95 (verify)</x:v>
      </x:c>
      <x:c r="X653" s="9" t="str">
        <x:v>Low</x:v>
      </x:c>
      <x:c r="Y653" s="9" t="str">
        <x:v>Original music; low risk unless a track was licensed (verify)</x:v>
      </x:c>
      <x:c r="Z653" s="9" t="str">
        <x:v>10+ hr</x:v>
      </x:c>
      <x:c r="AA653" s="9" t="str">
        <x:v>A rock-video director stuck in a dimension of metalheads, editing filmed music videos to sell to Earth TV.</x:v>
      </x:c>
      <x:c r="AB653" s="9" t="str">
        <x:v>None known</x:v>
      </x:c>
      <x:c r="AC653" s="9" t="str">
        <x:v>Small live-action music videos and character clips (verify)</x:v>
      </x:c>
      <x:c r="AD653" s="9" t="str">
        <x:v>Hard; RPG-style fights and open structure</x:v>
      </x:c>
      <x:c r="AE653" s="9" t="str">
        <x:v>Multiple endings (verify)</x:v>
      </x:c>
      <x:c r="AF653" s="9" t="str">
        <x:v>Pop Rocket wrote and shot dozens of original music videos for the game.</x:v>
      </x:c>
      <x:c r="AG653" s="9" t="str">
        <x:v>Unknown — verify</x:v>
      </x:c>
      <x:c r="AH653" s="9" t="str">
        <x:v>No</x:v>
      </x:c>
      <x:c r="AI653" s="9" t="str">
        <x:v>Easy</x:v>
      </x:c>
      <x:c r="AJ653" s="9" t="str">
        <x:v>86Box/PCem for Windows 3.1/95-era titles</x:v>
      </x:c>
      <x:c r="AK653" s="9" t="str">
        <x:v>Price not fetched: the shared WebFetch budget ran out.</x:v>
      </x:c>
      <x:c r="AL653" s="10" t="n">
        <x:v>9.99</x:v>
      </x:c>
      <x:c r="AM653" s="10" t="n">
        <x:v>21.25</x:v>
      </x:c>
      <x:c r="AN653" s="10" t="n">
        <x:v>29.95</x:v>
      </x:c>
      <x:c r="AO653" s="9" t="str">
        <x:v>2026-10-24</x:v>
      </x:c>
      <x:c r="AP653" s="11" t="str">
        <x:f>HYPERLINK("https://www.pricecharting.com/game/pc-games/total-distortion","PriceCharting")</x:f>
        <x:v>PriceCharting</x:v>
      </x:c>
      <x:c r="AQ653" s="9"/>
      <x:c r="AR653" s="9"/>
      <x:c r="AS653" s="9"/>
      <x:c r="AT653" s="9"/>
      <x:c r="AU653" s="9"/>
      <x:c r="AV653" s="9"/>
      <x:c r="AW653" s="9"/>
      <x:c r="AX653" s="9"/>
      <x:c r="AY653" s="9"/>
      <x:c r="AZ653" s="9"/>
      <x:c r="BA653" s="11" t="str">
        <x:f>HYPERLINK("https://www.mobygames.com/search/?q=Total+Distortion","MobyGames")</x:f>
        <x:v>MobyGames</x:v>
      </x:c>
      <x:c r="BB653" s="9" t="str">
        <x:v>64%</x:v>
      </x:c>
      <x:c r="BC653" s="9" t="str">
        <x:v>GameRankings, 1 review</x:v>
      </x:c>
      <x:c r="BD653" s="9" t="str">
        <x:f>HYPERLINK("https://web.archive.org/web/20191209011125id_/https://www.gamerankings.com/pc/199084-total-distortion/","Source")</x:f>
        <x:v>Source</x:v>
      </x:c>
      <x:c r="BE653" s="11" t="str">
        <x:f>HYPERLINK("https://en.wikipedia.org/wiki/Total_Distortion","Wikipedia")</x:f>
        <x:v>Wikipedia</x:v>
      </x:c>
      <x:c r="BF653" s="11" t="str">
        <x:f>HYPERLINK("https://backloggd.com/search/games/Total%20Distortion/","Backloggd")</x:f>
        <x:v>Backloggd</x:v>
      </x:c>
      <x:c r="BG653" s="9"/>
      <x:c r="BH653" s="9"/>
      <x:c r="BI653" s="12" t="str">
        <x:v>No</x:v>
      </x:c>
      <x:c r="BJ653" s="12" t="str"/>
      <x:c r="BK653" s="12" t="str">
        <x:v>No</x:v>
      </x:c>
      <x:c r="BL653" s="12" t="str"/>
      <x:c r="BM653" s="12" t="str"/>
      <x:c r="BN653" s="12" t="str"/>
      <x:c r="BO653" s="12" t="str"/>
      <x:c r="BP653" s="12" t="str"/>
      <x:c r="BQ653" s="12" t="str"/>
    </x:row>
    <x:row r="654">
      <x:c r="A654" s="9" t="str">
        <x:v>pc-124</x:v>
      </x:c>
      <x:c r="B654" s="9" t="str">
        <x:v>wrath-of-the-gods</x:v>
      </x:c>
      <x:c r="C654" s="9" t="str">
        <x:v>PC</x:v>
      </x:c>
      <x:c r="D654" s="9" t="str">
        <x:v>Wrath of the Gods</x:v>
      </x:c>
      <x:c r="E654" s="9" t="str"/>
      <x:c r="F654" s="9" t="str">
        <x:v>Luminaria</x:v>
      </x:c>
      <x:c r="G654" s="9" t="str">
        <x:v>Luminaria (NA) (verify)</x:v>
      </x:c>
      <x:c r="H654" s="9" t="n">
        <x:v>1994</x:v>
      </x:c>
      <x:c r="I654" s="9" t="str">
        <x:v>Yes</x:v>
      </x:c>
      <x:c r="J654" s="9" t="str">
        <x:v>No</x:v>
      </x:c>
      <x:c r="K654" s="9" t="str">
        <x:v>No</x:v>
      </x:c>
      <x:c r="L654" s="9" t="str">
        <x:v>No</x:v>
      </x:c>
      <x:c r="M654" s="9" t="str">
        <x:v>Point-and-click adventure</x:v>
      </x:c>
      <x:c r="N654" s="9" t="str">
        <x:v>Live-action</x:v>
      </x:c>
      <x:c r="O654" s="9" t="n">
        <x:v>5</x:v>
      </x:c>
      <x:c r="P654" s="9" t="str">
        <x:v>FMV adventure</x:v>
      </x:c>
      <x:c r="Q654" s="9" t="str">
        <x:v>Released</x:v>
      </x:c>
      <x:c r="R654" s="9" t="str">
        <x:v>Original production (Greek mythology)</x:v>
      </x:c>
      <x:c r="S654" s="9" t="str">
        <x:v>Mac</x:v>
      </x:c>
      <x:c r="T654" s="9" t="str">
        <x:v>Unknown — verify</x:v>
      </x:c>
      <x:c r="U654" s="9" t="n">
        <x:v>1</x:v>
      </x:c>
      <x:c r="V654" s="9" t="str">
        <x:v>Yes</x:v>
      </x:c>
      <x:c r="W654" s="9" t="str">
        <x:v>486/33, 8 MB RAM, 2x CD-ROM, SVGA; Windows 3.1 (verify)</x:v>
      </x:c>
      <x:c r="X654" s="9" t="str">
        <x:v>Low</x:v>
      </x:c>
      <x:c r="Y654" s="9" t="str"/>
      <x:c r="Z654" s="9" t="str">
        <x:v>6–10 hr</x:v>
      </x:c>
      <x:c r="AA654" s="9" t="str">
        <x:v>A filmed hero walks through photographed Greek landscapes meeting gods and monsters from myth.</x:v>
      </x:c>
      <x:c r="AB654" s="9" t="str">
        <x:v>None known</x:v>
      </x:c>
      <x:c r="AC654" s="9" t="str">
        <x:v>Live-action actors composited over photo backgrounds (verify size/fps)</x:v>
      </x:c>
      <x:c r="AD654" s="9" t="str">
        <x:v>Moderate; an oracle gives hints</x:v>
      </x:c>
      <x:c r="AE654" s="9" t="str">
        <x:v>Single ending (verify)</x:v>
      </x:c>
      <x:c r="AF654" s="9" t="str">
        <x:v>Built by San Francisco studio Luminaria; doubles as a mythology reference (verify).</x:v>
      </x:c>
      <x:c r="AG654" s="9" t="str">
        <x:v>Unknown — verify</x:v>
      </x:c>
      <x:c r="AH654" s="9" t="str">
        <x:v>No (verify)</x:v>
      </x:c>
      <x:c r="AI654" s="9" t="str">
        <x:v>Easy</x:v>
      </x:c>
      <x:c r="AJ654" s="9" t="str">
        <x:v>86Box/PCem for Windows 3.1-era titles</x:v>
      </x:c>
      <x:c r="AK654" s="9" t="str">
        <x:v>Price not fetched: the shared WebFetch budget ran out.</x:v>
      </x:c>
      <x:c r="AL654" s="10" t="n">
        <x:v>10</x:v>
      </x:c>
      <x:c r="AM654" s="10" t="n">
        <x:v>36.27</x:v>
      </x:c>
      <x:c r="AN654" s="10" t="n">
        <x:v>1213.72</x:v>
      </x:c>
      <x:c r="AO654" s="9" t="str">
        <x:v>2026-10-24</x:v>
      </x:c>
      <x:c r="AP654" s="11" t="str">
        <x:f>HYPERLINK("https://www.pricecharting.com/game/pc-games/wrath-of-the-gods","PriceCharting")</x:f>
        <x:v>PriceCharting</x:v>
      </x:c>
      <x:c r="AQ654" s="9"/>
      <x:c r="AR654" s="9"/>
      <x:c r="AS654" s="9"/>
      <x:c r="AT654" s="9"/>
      <x:c r="AU654" s="9"/>
      <x:c r="AV654" s="9"/>
      <x:c r="AW654" s="9"/>
      <x:c r="AX654" s="9"/>
      <x:c r="AY654" s="9"/>
      <x:c r="AZ654" s="9"/>
      <x:c r="BA654" s="11" t="str">
        <x:f>HYPERLINK("https://www.mobygames.com/search/?q=Wrath+of+the+Gods","MobyGames")</x:f>
        <x:v>MobyGames</x:v>
      </x:c>
      <x:c r="BB654" s="9"/>
      <x:c r="BC654" s="9"/>
      <x:c r="BD654" s="9"/>
      <x:c r="BE654" s="9"/>
      <x:c r="BF654" s="11" t="str">
        <x:f>HYPERLINK("https://backloggd.com/search/games/Wrath%20of%20the%20Gods/","Backloggd")</x:f>
        <x:v>Backloggd</x:v>
      </x:c>
      <x:c r="BG654" s="9"/>
      <x:c r="BH654" s="9"/>
      <x:c r="BI654" s="12" t="str">
        <x:v>No</x:v>
      </x:c>
      <x:c r="BJ654" s="12" t="str"/>
      <x:c r="BK654" s="12" t="str">
        <x:v>No</x:v>
      </x:c>
      <x:c r="BL654" s="12" t="str"/>
      <x:c r="BM654" s="12" t="str"/>
      <x:c r="BN654" s="12" t="str"/>
      <x:c r="BO654" s="12" t="str"/>
      <x:c r="BP654" s="12" t="str"/>
      <x:c r="BQ654" s="12" t="str"/>
    </x:row>
    <x:row r="655">
      <x:c r="A655" s="9" t="str">
        <x:v>pc-125</x:v>
      </x:c>
      <x:c r="B655" s="9" t="str">
        <x:v>the-last-dynasty</x:v>
      </x:c>
      <x:c r="C655" s="9" t="str">
        <x:v>PC</x:v>
      </x:c>
      <x:c r="D655" s="9" t="str">
        <x:v>The Last Dynasty</x:v>
      </x:c>
      <x:c r="E655" s="9" t="str"/>
      <x:c r="F655" s="9" t="str">
        <x:v>Coktel Vision</x:v>
      </x:c>
      <x:c r="G655" s="9" t="str">
        <x:v>Sierra On-Line (NA); Coktel Vision (EU)</x:v>
      </x:c>
      <x:c r="H655" s="9" t="n">
        <x:v>1995</x:v>
      </x:c>
      <x:c r="I655" s="9" t="str">
        <x:v>Yes</x:v>
      </x:c>
      <x:c r="J655" s="9" t="str">
        <x:v>No</x:v>
      </x:c>
      <x:c r="K655" s="9" t="str">
        <x:v>Yes</x:v>
      </x:c>
      <x:c r="L655" s="9" t="str">
        <x:v>No</x:v>
      </x:c>
      <x:c r="M655" s="9" t="str">
        <x:v>Adventure / space combat</x:v>
      </x:c>
      <x:c r="N655" s="9" t="str">
        <x:v>Live-action + CG</x:v>
      </x:c>
      <x:c r="O655" s="9" t="n">
        <x:v>5</x:v>
      </x:c>
      <x:c r="P655" s="9" t="str">
        <x:v>FMV adventure</x:v>
      </x:c>
      <x:c r="Q655" s="9" t="str">
        <x:v>Released</x:v>
      </x:c>
      <x:c r="R655" s="9" t="str">
        <x:v>Original production</x:v>
      </x:c>
      <x:c r="S655" s="9" t="str">
        <x:v>—</x:v>
      </x:c>
      <x:c r="T655" s="9" t="str">
        <x:v>Unknown — verify</x:v>
      </x:c>
      <x:c r="U655" s="9" t="n">
        <x:v>2</x:v>
      </x:c>
      <x:c r="V655" s="9" t="str">
        <x:v>Yes</x:v>
      </x:c>
      <x:c r="W655" s="9" t="str">
        <x:v>486DX/33, 8 MB RAM, 2x CD-ROM, SVGA; DOS &amp; Win 3.1 (verify)</x:v>
      </x:c>
      <x:c r="X655" s="9" t="str">
        <x:v>Low</x:v>
      </x:c>
      <x:c r="Y655" s="9" t="str"/>
      <x:c r="Z655" s="9" t="str">
        <x:v>8–12 hr</x:v>
      </x:c>
      <x:c r="AA655" s="9" t="str">
        <x:v>Coktel's French space opera swaps between filmed-actor adventure scenes and 3D dogfights.</x:v>
      </x:c>
      <x:c r="AB655" s="9" t="str">
        <x:v>None known</x:v>
      </x:c>
      <x:c r="AC655" s="9" t="str">
        <x:v>Live-action actors over rendered sets (verify size/fps)</x:v>
      </x:c>
      <x:c r="AD655" s="9" t="str">
        <x:v>Moderate; space combat can be skipped (verify)</x:v>
      </x:c>
      <x:c r="AE655" s="9" t="str">
        <x:v>Single ending</x:v>
      </x:c>
      <x:c r="AF655" s="9" t="str">
        <x:v>French title 'Le Dernier Dynastie' (verify).</x:v>
      </x:c>
      <x:c r="AG655" s="9" t="str">
        <x:v>Unknown — verify</x:v>
      </x:c>
      <x:c r="AH655" s="9" t="str">
        <x:v>No</x:v>
      </x:c>
      <x:c r="AI655" s="9" t="str">
        <x:v>Easy</x:v>
      </x:c>
      <x:c r="AJ655" s="9" t="str">
        <x:v>Original discs in DOSBox</x:v>
      </x:c>
      <x:c r="AK655" s="9" t="str">
        <x:v>Price not fetched: the shared WebFetch budget ran out.</x:v>
      </x:c>
      <x:c r="AL655" s="10" t="n">
        <x:v>8.99</x:v>
      </x:c>
      <x:c r="AM655" s="10" t="n">
        <x:v>26.5</x:v>
      </x:c>
      <x:c r="AN655" s="10" t="n">
        <x:v>28.07</x:v>
      </x:c>
      <x:c r="AO655" s="9" t="str">
        <x:v>2026-10-24</x:v>
      </x:c>
      <x:c r="AP655" s="11" t="str">
        <x:f>HYPERLINK("https://www.pricecharting.com/game/pc-games/the-last-dynasty","PriceCharting")</x:f>
        <x:v>PriceCharting</x:v>
      </x:c>
      <x:c r="AQ655" s="9"/>
      <x:c r="AR655" s="9"/>
      <x:c r="AS655" s="9"/>
      <x:c r="AT655" s="9"/>
      <x:c r="AU655" s="9"/>
      <x:c r="AV655" s="9"/>
      <x:c r="AW655" s="9"/>
      <x:c r="AX655" s="9"/>
      <x:c r="AY655" s="9"/>
      <x:c r="AZ655" s="9" t="str">
        <x:v>3.0</x:v>
      </x:c>
      <x:c r="BA655" s="11" t="str">
        <x:f>HYPERLINK("https://www.mobygames.com/game/dos/last-dynasty","MobyGames")</x:f>
        <x:v>MobyGames</x:v>
      </x:c>
      <x:c r="BB655" s="9"/>
      <x:c r="BC655" s="9"/>
      <x:c r="BD655" s="9"/>
      <x:c r="BE655" s="11" t="str">
        <x:f>HYPERLINK("https://en.wikipedia.org/wiki/The_Last_Dynasty","Wikipedia")</x:f>
        <x:v>Wikipedia</x:v>
      </x:c>
      <x:c r="BF655" s="11" t="str">
        <x:f>HYPERLINK("https://backloggd.com/search/games/The%20Last%20Dynasty/","Backloggd")</x:f>
        <x:v>Backloggd</x:v>
      </x:c>
      <x:c r="BG655" s="9"/>
      <x:c r="BH655" s="9"/>
      <x:c r="BI655" s="12" t="str">
        <x:v>No</x:v>
      </x:c>
      <x:c r="BJ655" s="12" t="str"/>
      <x:c r="BK655" s="12" t="str">
        <x:v>No</x:v>
      </x:c>
      <x:c r="BL655" s="12" t="str"/>
      <x:c r="BM655" s="12" t="str"/>
      <x:c r="BN655" s="12" t="str"/>
      <x:c r="BO655" s="12" t="str"/>
      <x:c r="BP655" s="12" t="str"/>
      <x:c r="BQ655" s="12" t="str"/>
    </x:row>
    <x:row r="656">
      <x:c r="A656" s="9" t="str">
        <x:v>pc-126</x:v>
      </x:c>
      <x:c r="B656" s="9" t="str">
        <x:v>urban-runner</x:v>
      </x:c>
      <x:c r="C656" s="9" t="str">
        <x:v>PC</x:v>
      </x:c>
      <x:c r="D656" s="9" t="str">
        <x:v>Urban Runner</x:v>
      </x:c>
      <x:c r="E656" s="9" t="str"/>
      <x:c r="F656" s="9" t="str">
        <x:v>Coktel Vision</x:v>
      </x:c>
      <x:c r="G656" s="9" t="str">
        <x:v>Sierra On-Line</x:v>
      </x:c>
      <x:c r="H656" s="9" t="n">
        <x:v>1996</x:v>
      </x:c>
      <x:c r="I656" s="9" t="str">
        <x:v>Yes</x:v>
      </x:c>
      <x:c r="J656" s="9" t="str">
        <x:v>No</x:v>
      </x:c>
      <x:c r="K656" s="9" t="str">
        <x:v>Yes</x:v>
      </x:c>
      <x:c r="L656" s="9" t="str">
        <x:v>No</x:v>
      </x:c>
      <x:c r="M656" s="9" t="str">
        <x:v>Interactive movie / action adventure</x:v>
      </x:c>
      <x:c r="N656" s="9" t="str">
        <x:v>Live-action</x:v>
      </x:c>
      <x:c r="O656" s="9" t="n">
        <x:v>8</x:v>
      </x:c>
      <x:c r="P656" s="9" t="str">
        <x:v>Interactive movie</x:v>
      </x:c>
      <x:c r="Q656" s="9" t="str">
        <x:v>Released</x:v>
      </x:c>
      <x:c r="R656" s="9" t="str">
        <x:v>Original production</x:v>
      </x:c>
      <x:c r="S656" s="9" t="str">
        <x:v>—</x:v>
      </x:c>
      <x:c r="T656" s="9" t="str">
        <x:v>Brandon Massey (Max Gardner)</x:v>
      </x:c>
      <x:c r="U656" s="9" t="n">
        <x:v>4</x:v>
      </x:c>
      <x:c r="V656" s="9" t="str">
        <x:v>Yes</x:v>
      </x:c>
      <x:c r="W656" s="9" t="str">
        <x:v>486DX2/66, 8 MB RAM, 2x CD-ROM, SVGA; DOS &amp; Win95 (verify)</x:v>
      </x:c>
      <x:c r="X656" s="9" t="str">
        <x:v>Low</x:v>
      </x:c>
      <x:c r="Y656" s="9" t="str"/>
      <x:c r="Z656" s="9" t="str">
        <x:v>4–6 hr</x:v>
      </x:c>
      <x:c r="AA656" s="9" t="str">
        <x:v>A journalist framed for murder runs from hitmen through Paris-ish streets, with almost every action a filmed clip and lots of deaths.</x:v>
      </x:c>
      <x:c r="AB656" s="9" t="str">
        <x:v>None known</x:v>
      </x:c>
      <x:c r="AC656" s="9" t="str">
        <x:v>Full-screen live-action at 640x480 (verify fps)</x:v>
      </x:c>
      <x:c r="AD656" s="9" t="str">
        <x:v>Hard; timed sequences and many death scenes</x:v>
      </x:c>
      <x:c r="AE656" s="9" t="str">
        <x:v>Single ending; many deaths</x:v>
      </x:c>
      <x:c r="AF656" s="9" t="str">
        <x:v>One of Coktel's last games before it was folded into Sierra.</x:v>
      </x:c>
      <x:c r="AG656" s="9" t="str">
        <x:v>4-CD box</x:v>
      </x:c>
      <x:c r="AH656" s="9" t="str">
        <x:v>No</x:v>
      </x:c>
      <x:c r="AI656" s="9" t="str">
        <x:v>Easy</x:v>
      </x:c>
      <x:c r="AJ656" s="9" t="str">
        <x:v>Original discs via ScummVM</x:v>
      </x:c>
      <x:c r="AK656" s="9" t="str">
        <x:v>Price not fetched: the shared WebFetch budget ran out.</x:v>
      </x:c>
      <x:c r="AL656" s="10"/>
      <x:c r="AM656" s="10"/>
      <x:c r="AN656" s="10"/>
      <x:c r="AO656" s="9"/>
      <x:c r="AP656" s="11" t="str">
        <x:f>HYPERLINK("https://www.pricecharting.com/search-products?q=Urban+Runner+pc+games&amp;type=prices","PriceCharting")</x:f>
        <x:v>PriceCharting</x:v>
      </x:c>
      <x:c r="AQ656" s="9"/>
      <x:c r="AR656" s="9"/>
      <x:c r="AS656" s="9"/>
      <x:c r="AT656" s="9"/>
      <x:c r="AU656" s="9" t="str">
        <x:v>No market</x:v>
      </x:c>
      <x:c r="AV656" s="9" t="str">
        <x:v>Not sold on Steam or GOG (checked 2026-10-25) and no PriceCharting listing.</x:v>
      </x:c>
      <x:c r="AW656" s="9"/>
      <x:c r="AX656" s="9"/>
      <x:c r="AY656" s="9" t="str">
        <x:v>60%</x:v>
      </x:c>
      <x:c r="AZ656" s="9" t="str">
        <x:v>3.2</x:v>
      </x:c>
      <x:c r="BA656" s="11" t="str">
        <x:f>HYPERLINK("https://www.mobygames.com/game/dos/urban-runner","MobyGames")</x:f>
        <x:v>MobyGames</x:v>
      </x:c>
      <x:c r="BB656" s="9"/>
      <x:c r="BC656" s="9"/>
      <x:c r="BD656" s="9"/>
      <x:c r="BE656" s="11" t="str">
        <x:f>HYPERLINK("https://en.wikipedia.org/wiki/Urban_Runner","Wikipedia")</x:f>
        <x:v>Wikipedia</x:v>
      </x:c>
      <x:c r="BF656" s="11" t="str">
        <x:f>HYPERLINK("https://backloggd.com/search/games/Urban%20Runner/","Backloggd")</x:f>
        <x:v>Backloggd</x:v>
      </x:c>
      <x:c r="BG656" s="9"/>
      <x:c r="BH656" s="9"/>
      <x:c r="BI656" s="12" t="str">
        <x:v>No</x:v>
      </x:c>
      <x:c r="BJ656" s="12" t="str"/>
      <x:c r="BK656" s="12" t="str">
        <x:v>No</x:v>
      </x:c>
      <x:c r="BL656" s="12" t="str"/>
      <x:c r="BM656" s="12" t="str"/>
      <x:c r="BN656" s="12" t="str"/>
      <x:c r="BO656" s="12" t="str"/>
      <x:c r="BP656" s="12" t="str"/>
      <x:c r="BQ656" s="12" t="str"/>
    </x:row>
    <x:row r="657">
      <x:c r="A657" s="9" t="str">
        <x:v>pc-127</x:v>
      </x:c>
      <x:c r="B657" s="9" t="str">
        <x:v>lost-in-time</x:v>
      </x:c>
      <x:c r="C657" s="9" t="str">
        <x:v>PC</x:v>
      </x:c>
      <x:c r="D657" s="9" t="str">
        <x:v>Lost in Time</x:v>
      </x:c>
      <x:c r="E657" s="9" t="str"/>
      <x:c r="F657" s="9" t="str">
        <x:v>Coktel Vision</x:v>
      </x:c>
      <x:c r="G657" s="9" t="str">
        <x:v>Coktel Vision (EU); Sierra On-Line (NA)</x:v>
      </x:c>
      <x:c r="H657" s="9" t="n">
        <x:v>1993</x:v>
      </x:c>
      <x:c r="I657" s="9" t="str">
        <x:v>Yes</x:v>
      </x:c>
      <x:c r="J657" s="9" t="str">
        <x:v>No</x:v>
      </x:c>
      <x:c r="K657" s="9" t="str">
        <x:v>Yes</x:v>
      </x:c>
      <x:c r="L657" s="9" t="str">
        <x:v>No</x:v>
      </x:c>
      <x:c r="M657" s="9" t="str">
        <x:v>Point-and-click time-travel adventure</x:v>
      </x:c>
      <x:c r="N657" s="9" t="str">
        <x:v>Live-action + pre-rendered CG</x:v>
      </x:c>
      <x:c r="O657" s="9" t="n">
        <x:v>4</x:v>
      </x:c>
      <x:c r="P657" s="9" t="str">
        <x:v>FMV adventure</x:v>
      </x:c>
      <x:c r="Q657" s="9" t="str">
        <x:v>Released</x:v>
      </x:c>
      <x:c r="R657" s="9" t="str">
        <x:v>Original production</x:v>
      </x:c>
      <x:c r="S657" s="9" t="str">
        <x:v>None (Wikipedia lists MS-DOS only)</x:v>
      </x:c>
      <x:c r="T657" s="9" t="str">
        <x:v>Unknown — verify</x:v>
      </x:c>
      <x:c r="U657" s="9" t="n">
        <x:v>1</x:v>
      </x:c>
      <x:c r="V657" s="9" t="str">
        <x:v>Yes</x:v>
      </x:c>
      <x:c r="W657" s="9" t="str">
        <x:v>386/33, 4 MB RAM, CD-ROM, VGA; DOS (verify)</x:v>
      </x:c>
      <x:c r="X657" s="9" t="str">
        <x:v>Low</x:v>
      </x:c>
      <x:c r="Y657" s="9" t="str"/>
      <x:c r="Z657" s="9" t="str">
        <x:v>8–12 hr</x:v>
      </x:c>
      <x:c r="AA657" s="9" t="str">
        <x:v>Doralice wakes in a ship's hold in 1840 and must fix history, played by digitized live actors over rendered scenes.</x:v>
      </x:c>
      <x:c r="AB657" s="9" t="str">
        <x:v>None known</x:v>
      </x:c>
      <x:c r="AC657" s="9" t="str">
        <x:v>Digitized live-action actors and video clips over 320x200 VGA (verify)</x:v>
      </x:c>
      <x:c r="AD657" s="9" t="str">
        <x:v>Moderate to hard</x:v>
      </x:c>
      <x:c r="AE657" s="9" t="str">
        <x:v>Single ending</x:v>
      </x:c>
      <x:c r="AF657" s="9" t="str">
        <x:v>Released in two parts in France; the CD combined both (verify).</x:v>
      </x:c>
      <x:c r="AG657" s="9" t="str">
        <x:v>Floppy and CD-ROM editions</x:v>
      </x:c>
      <x:c r="AH657" s="9" t="str">
        <x:v>No</x:v>
      </x:c>
      <x:c r="AI657" s="9" t="str">
        <x:v>Easy</x:v>
      </x:c>
      <x:c r="AJ657" s="9" t="str">
        <x:v>Original disc via ScummVM</x:v>
      </x:c>
      <x:c r="AK657" s="9" t="str">
        <x:v>Video share borderline (digitized sprites plus clips); price not fetched (WebFetch budget ran out).</x:v>
      </x:c>
      <x:c r="AL657" s="10" t="n">
        <x:v>10.22</x:v>
      </x:c>
      <x:c r="AM657" s="10" t="n">
        <x:v>27.74</x:v>
      </x:c>
      <x:c r="AN657" s="10" t="n">
        <x:v>79.95</x:v>
      </x:c>
      <x:c r="AO657" s="9" t="str">
        <x:v>2026-10-24</x:v>
      </x:c>
      <x:c r="AP657" s="11" t="str">
        <x:f>HYPERLINK("https://www.pricecharting.com/game/pc-games/lost-in-time","PriceCharting")</x:f>
        <x:v>PriceCharting</x:v>
      </x:c>
      <x:c r="AQ657" s="9"/>
      <x:c r="AR657" s="9"/>
      <x:c r="AS657" s="9"/>
      <x:c r="AT657" s="9"/>
      <x:c r="AU657" s="9"/>
      <x:c r="AV657" s="9"/>
      <x:c r="AW657" s="9"/>
      <x:c r="AX657" s="9"/>
      <x:c r="AY657" s="9"/>
      <x:c r="AZ657" s="9"/>
      <x:c r="BA657" s="11" t="str">
        <x:f>HYPERLINK("https://www.mobygames.com/search/?q=Lost+in+Time","MobyGames")</x:f>
        <x:v>MobyGames</x:v>
      </x:c>
      <x:c r="BB657" s="9" t="str">
        <x:v>70%</x:v>
      </x:c>
      <x:c r="BC657" s="9" t="str">
        <x:v>GameRankings, 1 review</x:v>
      </x:c>
      <x:c r="BD657" s="9" t="str">
        <x:f>HYPERLINK("https://web.archive.org/web/20191209013605id_/https://www.gamerankings.com/pc/564643-lost-in-time/","Source")</x:f>
        <x:v>Source</x:v>
      </x:c>
      <x:c r="BE657" s="11" t="str">
        <x:f>HYPERLINK("https://en.wikipedia.org/wiki/Lost_in_Time_(video_game)","Wikipedia")</x:f>
        <x:v>Wikipedia</x:v>
      </x:c>
      <x:c r="BF657" s="11" t="str">
        <x:f>HYPERLINK("https://backloggd.com/search/games/Lost%20in%20Time/","Backloggd")</x:f>
        <x:v>Backloggd</x:v>
      </x:c>
      <x:c r="BG657" s="9"/>
      <x:c r="BH657" s="9"/>
      <x:c r="BI657" s="12" t="str">
        <x:v>No</x:v>
      </x:c>
      <x:c r="BJ657" s="12" t="str"/>
      <x:c r="BK657" s="12" t="str">
        <x:v>No</x:v>
      </x:c>
      <x:c r="BL657" s="12" t="str"/>
      <x:c r="BM657" s="12" t="str"/>
      <x:c r="BN657" s="12" t="str"/>
      <x:c r="BO657" s="12" t="str"/>
      <x:c r="BP657" s="12" t="str"/>
      <x:c r="BQ657" s="12" t="str"/>
    </x:row>
    <x:row r="658">
      <x:c r="A658" s="9" t="str">
        <x:v>pc-128</x:v>
      </x:c>
      <x:c r="B658" s="9" t="str">
        <x:v>plumbers-dont-wear-ties</x:v>
      </x:c>
      <x:c r="C658" s="9" t="str">
        <x:v>PC</x:v>
      </x:c>
      <x:c r="D658" s="9" t="str">
        <x:v>Plumbers Don't Wear Ties</x:v>
      </x:c>
      <x:c r="E658" s="9" t="str"/>
      <x:c r="F658" s="9" t="str">
        <x:v>United Pixtures</x:v>
      </x:c>
      <x:c r="G658" s="9" t="str">
        <x:v>Kirin Entertainment</x:v>
      </x:c>
      <x:c r="H658" s="9" t="n">
        <x:v>1994</x:v>
      </x:c>
      <x:c r="I658" s="9" t="str">
        <x:v>Yes</x:v>
      </x:c>
      <x:c r="J658" s="9" t="str">
        <x:v>No</x:v>
      </x:c>
      <x:c r="K658" s="9" t="str">
        <x:v>No</x:v>
      </x:c>
      <x:c r="L658" s="9" t="str">
        <x:v>No</x:v>
      </x:c>
      <x:c r="M658" s="9" t="str">
        <x:v>Interactive movie / comedy</x:v>
      </x:c>
      <x:c r="N658" s="9" t="str">
        <x:v>Live-action</x:v>
      </x:c>
      <x:c r="O658" s="9" t="n">
        <x:v>1</x:v>
      </x:c>
      <x:c r="P658" s="9" t="str">
        <x:v>Interactive movie</x:v>
      </x:c>
      <x:c r="Q658" s="9" t="str">
        <x:v>Released</x:v>
      </x:c>
      <x:c r="R658" s="9" t="str">
        <x:v>Original production</x:v>
      </x:c>
      <x:c r="S658" s="9" t="str">
        <x:v>3DO</x:v>
      </x:c>
      <x:c r="T658" s="9" t="str">
        <x:v>Edward J. Foster (John), Jeanne Basone (Jane), Paul Bokor (Thresher), Michael Anderson, Thyra Metz</x:v>
      </x:c>
      <x:c r="U658" s="9" t="n">
        <x:v>1</x:v>
      </x:c>
      <x:c r="V658" s="9" t="str">
        <x:v>No</x:v>
      </x:c>
      <x:c r="W658" s="9" t="str">
        <x:v>Windows 3.1 PC, CD-ROM (verify spec)</x:v>
      </x:c>
      <x:c r="X658" s="9" t="str">
        <x:v>Low</x:v>
      </x:c>
      <x:c r="Y658" s="9" t="str"/>
      <x:c r="Z658" s="9" t="str">
        <x:v>20–40 min</x:v>
      </x:c>
      <x:c r="AA658" s="9" t="str">
        <x:v>The PC release of the 'worst game ever' slideshow romance, uncensored, and once thought lost until a copy surfaced in 2017.</x:v>
      </x:c>
      <x:c r="AB658" s="9" t="str">
        <x:v>None known (PC version is uncensored by default)</x:v>
      </x:c>
      <x:c r="AC658" s="9" t="str">
        <x:v>Narrated still-photo slideshow; the original PC version lacks the filmed introduction found on 3DO. Not mostly full-motion video.</x:v>
      </x:c>
      <x:c r="AD658" s="9" t="str">
        <x:v>Trivial; pick from multiple choices</x:v>
      </x:c>
      <x:c r="AE658" s="9" t="str">
        <x:v>Several bad endings and one good ending</x:v>
      </x:c>
      <x:c r="AF658" s="9" t="str">
        <x:v>The PC version was considered lost until a copy turned up at Ball State University in 2017.</x:v>
      </x:c>
      <x:c r="AG658" s="9" t="str">
        <x:v>Windows CD-ROM; 2024 remaster by Limited Run Games</x:v>
      </x:c>
      <x:c r="AH658" s="9" t="str">
        <x:v>Yes (2024 Definitive Edition on GOG and consoles)</x:v>
      </x:c>
      <x:c r="AI658" s="9" t="str">
        <x:v>Lost</x:v>
      </x:c>
      <x:c r="AJ658" s="9" t="str">
        <x:v>Plumbers Don’t Wear Ties: Definitive Edition on GOG (Windows); console editions also exist.</x:v>
      </x:c>
      <x:c r="AK658" s="9" t="str">
        <x:v>Retained as a culturally relevant adjacent title in the broad index; excluded from the strict FMV audit because gameplay uses still photographs. Definitive Edition is sold on GOG and modern consoles.</x:v>
      </x:c>
      <x:c r="AL658" s="10"/>
      <x:c r="AM658" s="10"/>
      <x:c r="AN658" s="10"/>
      <x:c r="AO658" s="9"/>
      <x:c r="AP658" s="11" t="str">
        <x:f>HYPERLINK("https://www.pricecharting.com/search-products?q=Plumbers+Don%27t+Wear+Ties+pc+games&amp;type=prices","PriceCharting")</x:f>
        <x:v>PriceCharting</x:v>
      </x:c>
      <x:c r="AQ658" s="9" t="n">
        <x:v>19.99</x:v>
      </x:c>
      <x:c r="AR658" s="11" t="str">
        <x:v>GOG</x:v>
      </x:c>
      <x:c r="AS658" s="9" t="str">
        <x:f>HYPERLINK("https://www.gog.com/en/game/plumbers_dont_wear_ties_definitive_edition","Store")</x:f>
        <x:v>Store</x:v>
      </x:c>
      <x:c r="AT658" s="9" t="str">
        <x:v>2026-10-25</x:v>
      </x:c>
      <x:c r="AU658" s="9"/>
      <x:c r="AV658" s="9"/>
      <x:c r="AW658" s="9"/>
      <x:c r="AX658" s="9"/>
      <x:c r="AY658" s="9"/>
      <x:c r="AZ658" s="9"/>
      <x:c r="BA658" s="11" t="str">
        <x:f>HYPERLINK("https://www.mobygames.com/game/25730/plumbers-dont-wear-ties/","MobyGames")</x:f>
        <x:v>MobyGames</x:v>
      </x:c>
      <x:c r="BB658" s="9"/>
      <x:c r="BC658" s="9"/>
      <x:c r="BD658" s="9"/>
      <x:c r="BE658" s="11" t="str">
        <x:f>HYPERLINK("https://en.wikipedia.org/wiki/Plumbers_Don%27t_Wear_Ties","Wikipedia")</x:f>
        <x:v>Wikipedia</x:v>
      </x:c>
      <x:c r="BF658" s="11" t="str">
        <x:f>HYPERLINK("https://backloggd.com/search/games/Plumbers%20Don%27t%20Wear%20Ties/","Backloggd")</x:f>
        <x:v>Backloggd</x:v>
      </x:c>
      <x:c r="BG658" s="9"/>
      <x:c r="BH658" s="9"/>
      <x:c r="BI658" s="12" t="str">
        <x:v>No</x:v>
      </x:c>
      <x:c r="BJ658" s="12" t="str"/>
      <x:c r="BK658" s="12" t="str">
        <x:v>No</x:v>
      </x:c>
      <x:c r="BL658" s="12" t="str"/>
      <x:c r="BM658" s="12" t="str"/>
      <x:c r="BN658" s="12" t="str"/>
      <x:c r="BO658" s="12" t="str"/>
      <x:c r="BP658" s="12" t="str"/>
      <x:c r="BQ658" s="12" t="str"/>
    </x:row>
    <x:row r="659">
      <x:c r="A659" s="9" t="str">
        <x:v>pc-129</x:v>
      </x:c>
      <x:c r="B659" s="9" t="str">
        <x:v>midnight-stranger</x:v>
      </x:c>
      <x:c r="C659" s="9" t="str">
        <x:v>PC</x:v>
      </x:c>
      <x:c r="D659" s="9" t="str">
        <x:v>Midnight Stranger</x:v>
      </x:c>
      <x:c r="E659" s="9" t="str"/>
      <x:c r="F659" s="9" t="str">
        <x:v>Gazelle Technologies</x:v>
      </x:c>
      <x:c r="G659" s="9" t="str">
        <x:v>Gazelle Technologies</x:v>
      </x:c>
      <x:c r="H659" s="9" t="n">
        <x:v>1994</x:v>
      </x:c>
      <x:c r="I659" s="9" t="str">
        <x:v>Yes</x:v>
      </x:c>
      <x:c r="J659" s="9" t="str">
        <x:v>No</x:v>
      </x:c>
      <x:c r="K659" s="9" t="str">
        <x:v>No</x:v>
      </x:c>
      <x:c r="L659" s="9" t="str">
        <x:v>No</x:v>
      </x:c>
      <x:c r="M659" s="9" t="str">
        <x:v>Interactive movie</x:v>
      </x:c>
      <x:c r="N659" s="9" t="str">
        <x:v>Live-action</x:v>
      </x:c>
      <x:c r="O659" s="9" t="n">
        <x:v>9</x:v>
      </x:c>
      <x:c r="P659" s="9" t="str">
        <x:v>Interactive movie</x:v>
      </x:c>
      <x:c r="Q659" s="9" t="str">
        <x:v>Released</x:v>
      </x:c>
      <x:c r="R659" s="9" t="str">
        <x:v>Original production (shot in Ottawa)</x:v>
      </x:c>
      <x:c r="S659" s="9" t="str">
        <x:v>Macintosh</x:v>
      </x:c>
      <x:c r="T659" s="9" t="str">
        <x:v>Julie R., Kevin Pickles, Linda Armstrong, Rick Kalbars, Lyle Burwell, Nicki Brodie and others (written and directed by Jeff Green)</x:v>
      </x:c>
      <x:c r="U659" s="9" t="n">
        <x:v>1</x:v>
      </x:c>
      <x:c r="V659" s="9" t="str">
        <x:v>No</x:v>
      </x:c>
      <x:c r="W659" s="9" t="str">
        <x:v>Windows 3.1, 486, CD-ROM (verify); also Mac</x:v>
      </x:c>
      <x:c r="X659" s="9" t="str">
        <x:v>Low</x:v>
      </x:c>
      <x:c r="Y659" s="9" t="str"/>
      <x:c r="Z659" s="9" t="str">
        <x:v>1–2 hr</x:v>
      </x:c>
      <x:c r="AA659" s="9" t="str">
        <x:v>A first-person night-out-in-the-city interactive movie where you pick a mood (not a line) and strangers react to you on camera.</x:v>
      </x:c>
      <x:c r="AB659" s="9" t="str">
        <x:v>None known</x:v>
      </x:c>
      <x:c r="AC659" s="9" t="str">
        <x:v>Small QuickTime/Video for Windows window (verify)</x:v>
      </x:c>
      <x:c r="AD659" s="9" t="str">
        <x:v>Easy; mood-meter conversation choices</x:v>
      </x:c>
      <x:c r="AE659" s="9" t="str">
        <x:v>Multiple branching outcomes</x:v>
      </x:c>
      <x:c r="AF659" s="9" t="str">
        <x:v>Made by an Ottawa company; CBC ran a retrospective on it in 2016.</x:v>
      </x:c>
      <x:c r="AG659" s="9" t="str"/>
      <x:c r="AH659" s="9" t="str">
        <x:v>No</x:v>
      </x:c>
      <x:c r="AI659" s="9" t="str">
        <x:v>Emulation only</x:v>
      </x:c>
      <x:c r="AJ659" s="9" t="str">
        <x:v>86Box/PCem for Windows 3.1-era titles (or Windows 3.1 in DOSBox)</x:v>
      </x:c>
      <x:c r="AK659" s="9" t="str">
        <x:v>Not found on PriceCharting PC Games. MobyGames page not confirmed.</x:v>
      </x:c>
      <x:c r="AL659" s="10"/>
      <x:c r="AM659" s="10"/>
      <x:c r="AN659" s="10"/>
      <x:c r="AO659" s="9"/>
      <x:c r="AP659" s="11" t="str">
        <x:f>HYPERLINK("https://www.pricecharting.com/search-products?q=Midnight+Stranger+pc+games&amp;type=prices","PriceCharting")</x:f>
        <x:v>PriceCharting</x:v>
      </x:c>
      <x:c r="AQ659" s="9"/>
      <x:c r="AR659" s="9"/>
      <x:c r="AS659" s="9"/>
      <x:c r="AT659" s="9"/>
      <x:c r="AU659" s="9" t="str">
        <x:v>No market</x:v>
      </x:c>
      <x:c r="AV659" s="9" t="str">
        <x:v>Not sold on Steam or GOG (checked 2026-10-25) and no PriceCharting listing.</x:v>
      </x:c>
      <x:c r="AW659" s="9"/>
      <x:c r="AX659" s="9"/>
      <x:c r="AY659" s="9"/>
      <x:c r="AZ659" s="9"/>
      <x:c r="BA659" s="11" t="str">
        <x:f>HYPERLINK("https://www.mobygames.com/search/?q=Midnight+Stranger","MobyGames")</x:f>
        <x:v>MobyGames</x:v>
      </x:c>
      <x:c r="BB659" s="9"/>
      <x:c r="BC659" s="9"/>
      <x:c r="BD659" s="9"/>
      <x:c r="BE659" s="11" t="str">
        <x:f>HYPERLINK("https://en.wikipedia.org/wiki/Midnight_Stranger","Wikipedia")</x:f>
        <x:v>Wikipedia</x:v>
      </x:c>
      <x:c r="BF659" s="11" t="str">
        <x:f>HYPERLINK("https://backloggd.com/search/games/Midnight%20Stranger/","Backloggd")</x:f>
        <x:v>Backloggd</x:v>
      </x:c>
      <x:c r="BG659" s="9"/>
      <x:c r="BH659" s="9"/>
      <x:c r="BI659" s="12" t="str">
        <x:v>No</x:v>
      </x:c>
      <x:c r="BJ659" s="12" t="str"/>
      <x:c r="BK659" s="12" t="str">
        <x:v>No</x:v>
      </x:c>
      <x:c r="BL659" s="12" t="str"/>
      <x:c r="BM659" s="12" t="str"/>
      <x:c r="BN659" s="12" t="str"/>
      <x:c r="BO659" s="12" t="str"/>
      <x:c r="BP659" s="12" t="str"/>
      <x:c r="BQ659" s="12" t="str"/>
    </x:row>
    <x:row r="660">
      <x:c r="A660" s="9" t="str">
        <x:v>pc-130</x:v>
      </x:c>
      <x:c r="B660" s="9" t="str">
        <x:v>man-enough</x:v>
      </x:c>
      <x:c r="C660" s="9" t="str">
        <x:v>PC</x:v>
      </x:c>
      <x:c r="D660" s="9" t="str">
        <x:v>Man Enough</x:v>
      </x:c>
      <x:c r="E660" s="9" t="str"/>
      <x:c r="F660" s="9" t="str">
        <x:v>Tsunami Media</x:v>
      </x:c>
      <x:c r="G660" s="9" t="str">
        <x:v>Tsunami Media</x:v>
      </x:c>
      <x:c r="H660" s="9" t="n">
        <x:v>1995</x:v>
      </x:c>
      <x:c r="I660" s="9" t="str">
        <x:v>Yes</x:v>
      </x:c>
      <x:c r="J660" s="9" t="str">
        <x:v>No</x:v>
      </x:c>
      <x:c r="K660" s="9" t="str">
        <x:v>No</x:v>
      </x:c>
      <x:c r="L660" s="9" t="str">
        <x:v>No</x:v>
      </x:c>
      <x:c r="M660" s="9" t="str">
        <x:v>FMV dating sim</x:v>
      </x:c>
      <x:c r="N660" s="9" t="str">
        <x:v>Live-action</x:v>
      </x:c>
      <x:c r="O660" s="9" t="n">
        <x:v>8</x:v>
      </x:c>
      <x:c r="P660" s="9" t="str">
        <x:v>Interactive movie</x:v>
      </x:c>
      <x:c r="Q660" s="9" t="str">
        <x:v>Released</x:v>
      </x:c>
      <x:c r="R660" s="9" t="str">
        <x:v>Original production</x:v>
      </x:c>
      <x:c r="S660" s="9" t="str"/>
      <x:c r="T660" s="9" t="str">
        <x:v>Unknown — verify</x:v>
      </x:c>
      <x:c r="U660" s="9" t="n">
        <x:v>1</x:v>
      </x:c>
      <x:c r="V660" s="9" t="str">
        <x:v>Yes (verify)</x:v>
      </x:c>
      <x:c r="W660" s="9" t="str">
        <x:v>DOS/Windows, 486, CD-ROM (verify)</x:v>
      </x:c>
      <x:c r="X660" s="9" t="str">
        <x:v>Low</x:v>
      </x:c>
      <x:c r="Y660" s="9" t="str"/>
      <x:c r="Z660" s="9" t="str">
        <x:v>1–3 hr</x:v>
      </x:c>
      <x:c r="AA660" s="9" t="str">
        <x:v>A mid-90s live-action dating game where you phone, flirt with and date a string of women to win the final one.</x:v>
      </x:c>
      <x:c r="AB660" s="9" t="str">
        <x:v>None known</x:v>
      </x:c>
      <x:c r="AC660" s="9" t="str">
        <x:v>Small live-action windows (verify)</x:v>
      </x:c>
      <x:c r="AD660" s="9" t="str">
        <x:v>Medium; trial-and-error conversation choices</x:v>
      </x:c>
      <x:c r="AE660" s="9" t="str">
        <x:v>Win or lose each date; final date</x:v>
      </x:c>
      <x:c r="AF660" s="9" t="str">
        <x:v>One of Tsunami Media's late FMV titles before the company folded.</x:v>
      </x:c>
      <x:c r="AG660" s="9" t="str"/>
      <x:c r="AH660" s="9" t="str">
        <x:v>No</x:v>
      </x:c>
      <x:c r="AI660" s="9" t="str">
        <x:v>Easy</x:v>
      </x:c>
      <x:c r="AJ660" s="9" t="str">
        <x:v>Original discs in DOSBox</x:v>
      </x:c>
      <x:c r="AK660" s="9" t="str">
        <x:v>Mature themes but not an adult video disc. Not found on PriceCharting PC Games. Discs count (verify).</x:v>
      </x:c>
      <x:c r="AL660" s="10"/>
      <x:c r="AM660" s="10"/>
      <x:c r="AN660" s="10"/>
      <x:c r="AO660" s="9"/>
      <x:c r="AP660" s="11" t="str">
        <x:f>HYPERLINK("https://www.pricecharting.com/search-products?q=Man+Enough+pc+games&amp;type=prices","PriceCharting")</x:f>
        <x:v>PriceCharting</x:v>
      </x:c>
      <x:c r="AQ660" s="9"/>
      <x:c r="AR660" s="9"/>
      <x:c r="AS660" s="9"/>
      <x:c r="AT660" s="9"/>
      <x:c r="AU660" s="9" t="str">
        <x:v>No market</x:v>
      </x:c>
      <x:c r="AV660" s="9" t="str">
        <x:v>Not sold on Steam or GOG (checked 2026-10-25) and no PriceCharting listing.</x:v>
      </x:c>
      <x:c r="AW660" s="9"/>
      <x:c r="AX660" s="9"/>
      <x:c r="AY660" s="9" t="str">
        <x:v>25%</x:v>
      </x:c>
      <x:c r="AZ660" s="9"/>
      <x:c r="BA660" s="11" t="str">
        <x:f>HYPERLINK("https://www.mobygames.com/game/dos/man-enough","MobyGames")</x:f>
        <x:v>MobyGames</x:v>
      </x:c>
      <x:c r="BB660" s="9"/>
      <x:c r="BC660" s="9"/>
      <x:c r="BD660" s="9"/>
      <x:c r="BE660" s="11" t="str">
        <x:f>HYPERLINK("https://en.wikipedia.org/wiki/Man_Enough","Wikipedia")</x:f>
        <x:v>Wikipedia</x:v>
      </x:c>
      <x:c r="BF660" s="11" t="str">
        <x:f>HYPERLINK("https://backloggd.com/search/games/Man%20Enough/","Backloggd")</x:f>
        <x:v>Backloggd</x:v>
      </x:c>
      <x:c r="BG660" s="9"/>
      <x:c r="BH660" s="9"/>
      <x:c r="BI660" s="12" t="str">
        <x:v>No</x:v>
      </x:c>
      <x:c r="BJ660" s="12" t="str"/>
      <x:c r="BK660" s="12" t="str">
        <x:v>No</x:v>
      </x:c>
      <x:c r="BL660" s="12" t="str"/>
      <x:c r="BM660" s="12" t="str"/>
      <x:c r="BN660" s="12" t="str"/>
      <x:c r="BO660" s="12" t="str"/>
      <x:c r="BP660" s="12" t="str"/>
      <x:c r="BQ660" s="12" t="str"/>
    </x:row>
    <x:row r="661">
      <x:c r="A661" s="9" t="str">
        <x:v>pc-131</x:v>
      </x:c>
      <x:c r="B661" s="9" t="str">
        <x:v>club-dead</x:v>
      </x:c>
      <x:c r="C661" s="9" t="str">
        <x:v>PC</x:v>
      </x:c>
      <x:c r="D661" s="9" t="str">
        <x:v>Club Dead</x:v>
      </x:c>
      <x:c r="E661" s="9" t="str">
        <x:v>MTV's Club Dead</x:v>
      </x:c>
      <x:c r="F661" s="9" t="str">
        <x:v>ICOM Simulations</x:v>
      </x:c>
      <x:c r="G661" s="9" t="str">
        <x:v>Viacom New Media</x:v>
      </x:c>
      <x:c r="H661" s="9" t="n">
        <x:v>1994</x:v>
      </x:c>
      <x:c r="I661" s="9" t="str">
        <x:v>Yes</x:v>
      </x:c>
      <x:c r="J661" s="9" t="str">
        <x:v>No</x:v>
      </x:c>
      <x:c r="K661" s="9" t="str">
        <x:v>No</x:v>
      </x:c>
      <x:c r="L661" s="9" t="str">
        <x:v>No</x:v>
      </x:c>
      <x:c r="M661" s="9" t="str">
        <x:v>FMV adventure</x:v>
      </x:c>
      <x:c r="N661" s="9" t="str">
        <x:v>Live-action + pre-rendered CG</x:v>
      </x:c>
      <x:c r="O661" s="9" t="n">
        <x:v>6</x:v>
      </x:c>
      <x:c r="P661" s="9" t="str">
        <x:v>FMV adventure</x:v>
      </x:c>
      <x:c r="Q661" s="9" t="str">
        <x:v>Released</x:v>
      </x:c>
      <x:c r="R661" s="9" t="str">
        <x:v>Original production (MTV branded)</x:v>
      </x:c>
      <x:c r="S661" s="9" t="str">
        <x:v>Macintosh</x:v>
      </x:c>
      <x:c r="T661" s="9" t="str">
        <x:v>Unknown — verify</x:v>
      </x:c>
      <x:c r="U661" s="9" t="n">
        <x:v>1</x:v>
      </x:c>
      <x:c r="V661" s="9" t="str">
        <x:v>Yes (verify)</x:v>
      </x:c>
      <x:c r="W661" s="9" t="str">
        <x:v>Windows 3.1, 486, CD-ROM (verify); also Mac</x:v>
      </x:c>
      <x:c r="X661" s="9" t="str">
        <x:v>Low–Med</x:v>
      </x:c>
      <x:c r="Y661" s="9" t="str">
        <x:v>MTV branding/music (verify)</x:v>
      </x:c>
      <x:c r="Z661" s="9" t="str">
        <x:v>3–5 hr</x:v>
      </x:c>
      <x:c r="AA661" s="9" t="str">
        <x:v>MTV's own interactive movie: a repairman trapped in a virtual-reality resort where the guests are dying.</x:v>
      </x:c>
      <x:c r="AB661" s="9" t="str">
        <x:v>None known</x:v>
      </x:c>
      <x:c r="AC661" s="9" t="str">
        <x:v>Live-action actors in pre-rendered sets, small window (verify)</x:v>
      </x:c>
      <x:c r="AD661" s="9" t="str">
        <x:v>Medium adventure puzzles</x:v>
      </x:c>
      <x:c r="AE661" s="9" t="str">
        <x:v>Single ending (verify)</x:v>
      </x:c>
      <x:c r="AF661" s="9" t="str">
        <x:v>Developed by ICOM Simulations, makers of the Sherlock Holmes: Consulting Detective discs.</x:v>
      </x:c>
      <x:c r="AG661" s="9" t="str"/>
      <x:c r="AH661" s="9" t="str">
        <x:v>No</x:v>
      </x:c>
      <x:c r="AI661" s="9" t="str">
        <x:v>Emulation only</x:v>
      </x:c>
      <x:c r="AJ661" s="9" t="str">
        <x:v>86Box/PCem for Windows 3.1-era titles</x:v>
      </x:c>
      <x:c r="AK661" s="9" t="str">
        <x:v>Real title 'MTV: Club Dead' / 'MTV's Club Dead'; kept list key. PriceCharting lists it only under Macintosh ('MTV: Club Dead').</x:v>
      </x:c>
      <x:c r="AL661" s="10" t="n">
        <x:v>7.48</x:v>
      </x:c>
      <x:c r="AM661" s="10" t="n">
        <x:v>17.61</x:v>
      </x:c>
      <x:c r="AN661" s="10" t="n">
        <x:v>37.5</x:v>
      </x:c>
      <x:c r="AO661" s="9" t="str">
        <x:v>2026-10-24</x:v>
      </x:c>
      <x:c r="AP661" s="11" t="str">
        <x:f>HYPERLINK("https://www.pricecharting.com/game/pc-games/mtv-club-dead","PriceCharting")</x:f>
        <x:v>PriceCharting</x:v>
      </x:c>
      <x:c r="AQ661" s="9"/>
      <x:c r="AR661" s="9"/>
      <x:c r="AS661" s="9"/>
      <x:c r="AT661" s="9"/>
      <x:c r="AU661" s="9"/>
      <x:c r="AV661" s="9"/>
      <x:c r="AW661" s="9"/>
      <x:c r="AX661" s="9"/>
      <x:c r="AY661" s="9"/>
      <x:c r="AZ661" s="9" t="str">
        <x:v>3.2</x:v>
      </x:c>
      <x:c r="BA661" s="11" t="str">
        <x:f>HYPERLINK("https://www.mobygames.com/game/dos/mtvs-club-dead","MobyGames")</x:f>
        <x:v>MobyGames</x:v>
      </x:c>
      <x:c r="BB661" s="9"/>
      <x:c r="BC661" s="9"/>
      <x:c r="BD661" s="9"/>
      <x:c r="BE661" s="11" t="str">
        <x:f>HYPERLINK("https://en.wikipedia.org/wiki/MTV:_Club_Dead","Wikipedia")</x:f>
        <x:v>Wikipedia</x:v>
      </x:c>
      <x:c r="BF661" s="11" t="str">
        <x:f>HYPERLINK("https://backloggd.com/search/games/Club%20Dead/","Backloggd")</x:f>
        <x:v>Backloggd</x:v>
      </x:c>
      <x:c r="BG661" s="9"/>
      <x:c r="BH661" s="9"/>
      <x:c r="BI661" s="12" t="str">
        <x:v>No</x:v>
      </x:c>
      <x:c r="BJ661" s="12" t="str"/>
      <x:c r="BK661" s="12" t="str">
        <x:v>No</x:v>
      </x:c>
      <x:c r="BL661" s="12" t="str"/>
      <x:c r="BM661" s="12" t="str"/>
      <x:c r="BN661" s="12" t="str"/>
      <x:c r="BO661" s="12" t="str"/>
      <x:c r="BP661" s="12" t="str"/>
      <x:c r="BQ661" s="12" t="str"/>
    </x:row>
    <x:row r="662">
      <x:c r="A662" s="9" t="str">
        <x:v>pc-132</x:v>
      </x:c>
      <x:c r="B662" s="9" t="str">
        <x:v>hell-cab</x:v>
      </x:c>
      <x:c r="C662" s="9" t="str">
        <x:v>PC</x:v>
      </x:c>
      <x:c r="D662" s="9" t="str">
        <x:v>Hell Cab</x:v>
      </x:c>
      <x:c r="E662" s="9" t="str"/>
      <x:c r="F662" s="9" t="str">
        <x:v>Digital Fusion (Pepe Moreno)</x:v>
      </x:c>
      <x:c r="G662" s="9" t="str">
        <x:v>Time Warner Interactive</x:v>
      </x:c>
      <x:c r="H662" s="9" t="n">
        <x:v>1993</x:v>
      </x:c>
      <x:c r="I662" s="9" t="str">
        <x:v>Yes</x:v>
      </x:c>
      <x:c r="J662" s="9" t="str">
        <x:v>No</x:v>
      </x:c>
      <x:c r="K662" s="9" t="str">
        <x:v>No</x:v>
      </x:c>
      <x:c r="L662" s="9" t="str">
        <x:v>No</x:v>
      </x:c>
      <x:c r="M662" s="9" t="str">
        <x:v>Adventure</x:v>
      </x:c>
      <x:c r="N662" s="9" t="str">
        <x:v>Live-action + CG</x:v>
      </x:c>
      <x:c r="O662" s="9" t="n">
        <x:v>4</x:v>
      </x:c>
      <x:c r="P662" s="9" t="str">
        <x:v>FMV adventure</x:v>
      </x:c>
      <x:c r="Q662" s="9" t="str">
        <x:v>Released</x:v>
      </x:c>
      <x:c r="R662" s="9" t="str">
        <x:v>Original production by comic artist Pepe Moreno</x:v>
      </x:c>
      <x:c r="S662" s="9" t="str">
        <x:v>Macintosh</x:v>
      </x:c>
      <x:c r="T662" s="9" t="str">
        <x:v>— (Pepe Moreno created the game; performers are not named in available sources)</x:v>
      </x:c>
      <x:c r="U662" s="9" t="n">
        <x:v>1</x:v>
      </x:c>
      <x:c r="V662" s="9" t="str">
        <x:v>Yes (verify)</x:v>
      </x:c>
      <x:c r="W662" s="9" t="str">
        <x:v>Windows 3.1, 386/486, 4 MB RAM, CD-ROM (verify); also Mac</x:v>
      </x:c>
      <x:c r="X662" s="9" t="str">
        <x:v>Low</x:v>
      </x:c>
      <x:c r="Y662" s="9" t="str"/>
      <x:c r="Z662" s="9" t="str">
        <x:v>2–3 hr</x:v>
      </x:c>
      <x:c r="AA662" s="9" t="str">
        <x:v>A New York tourist takes a cab ride to Hell and back through time, in an early QuickTime-era CD-ROM oddity.</x:v>
      </x:c>
      <x:c r="AB662" s="9" t="str">
        <x:v>None known</x:v>
      </x:c>
      <x:c r="AC662" s="9" t="str">
        <x:v>Small QuickTime clips mixed with rendered stills</x:v>
      </x:c>
      <x:c r="AD662" s="9" t="str">
        <x:v>Easy; few real puzzles, some action sequences</x:v>
      </x:c>
      <x:c r="AE662" s="9" t="str">
        <x:v>Win or die</x:v>
      </x:c>
      <x:c r="AF662" s="9" t="str">
        <x:v>Directed by comics artist Pepe Moreno; one of the earliest Windows CD-ROM adventures with video.</x:v>
      </x:c>
      <x:c r="AG662" s="9" t="str">
        <x:v>Windows and Mac hybrid CD (verify)</x:v>
      </x:c>
      <x:c r="AH662" s="9" t="str">
        <x:v>No</x:v>
      </x:c>
      <x:c r="AI662" s="9" t="str">
        <x:v>Emulation only</x:v>
      </x:c>
      <x:c r="AJ662" s="9" t="str">
        <x:v>86Box/PCem for Windows 3.1-era titles</x:v>
      </x:c>
      <x:c r="AK662" s="9" t="str"/>
      <x:c r="AL662" s="10" t="n">
        <x:v>15.97</x:v>
      </x:c>
      <x:c r="AM662" s="10" t="n">
        <x:v>21.25</x:v>
      </x:c>
      <x:c r="AN662" s="10" t="n">
        <x:v>43</x:v>
      </x:c>
      <x:c r="AO662" s="9" t="str">
        <x:v>2026-10-24</x:v>
      </x:c>
      <x:c r="AP662" s="11" t="str">
        <x:f>HYPERLINK("https://www.pricecharting.com/game/pc-games/hell-cab","PriceCharting")</x:f>
        <x:v>PriceCharting</x:v>
      </x:c>
      <x:c r="AQ662" s="9"/>
      <x:c r="AR662" s="9"/>
      <x:c r="AS662" s="9"/>
      <x:c r="AT662" s="9"/>
      <x:c r="AU662" s="9"/>
      <x:c r="AV662" s="9"/>
      <x:c r="AW662" s="9"/>
      <x:c r="AX662" s="9"/>
      <x:c r="AY662" s="9"/>
      <x:c r="AZ662" s="9"/>
      <x:c r="BA662" s="11" t="str">
        <x:f>HYPERLINK("https://www.mobygames.com/game/4384/hell-cab/","MobyGames")</x:f>
        <x:v>MobyGames</x:v>
      </x:c>
      <x:c r="BB662" s="9"/>
      <x:c r="BC662" s="9"/>
      <x:c r="BD662" s="9"/>
      <x:c r="BE662" s="11" t="str">
        <x:f>HYPERLINK("https://en.wikipedia.org/wiki/Hell_Cab","Wikipedia")</x:f>
        <x:v>Wikipedia</x:v>
      </x:c>
      <x:c r="BF662" s="11" t="str">
        <x:f>HYPERLINK("https://backloggd.com/search/games/Hell%20Cab/","Backloggd")</x:f>
        <x:v>Backloggd</x:v>
      </x:c>
      <x:c r="BG662" s="9"/>
      <x:c r="BH662" s="9"/>
      <x:c r="BI662" s="12" t="str">
        <x:v>No</x:v>
      </x:c>
      <x:c r="BJ662" s="12" t="str"/>
      <x:c r="BK662" s="12" t="str">
        <x:v>No</x:v>
      </x:c>
      <x:c r="BL662" s="12" t="str"/>
      <x:c r="BM662" s="12" t="str"/>
      <x:c r="BN662" s="12" t="str"/>
      <x:c r="BO662" s="12" t="str"/>
      <x:c r="BP662" s="12" t="str"/>
      <x:c r="BQ662" s="12" t="str"/>
    </x:row>
    <x:row r="663">
      <x:c r="A663" s="9" t="str">
        <x:v>pc-133</x:v>
      </x:c>
      <x:c r="B663" s="9" t="str">
        <x:v>in-the-1st-degree</x:v>
      </x:c>
      <x:c r="C663" s="9" t="str">
        <x:v>PC</x:v>
      </x:c>
      <x:c r="D663" s="9" t="str">
        <x:v>In the 1st Degree</x:v>
      </x:c>
      <x:c r="E663" s="9" t="str"/>
      <x:c r="F663" s="9" t="str">
        <x:v>Broderbund</x:v>
      </x:c>
      <x:c r="G663" s="9" t="str">
        <x:v>Broderbund</x:v>
      </x:c>
      <x:c r="H663" s="9" t="n">
        <x:v>1995</x:v>
      </x:c>
      <x:c r="I663" s="9" t="str">
        <x:v>Yes</x:v>
      </x:c>
      <x:c r="J663" s="9" t="str">
        <x:v>No</x:v>
      </x:c>
      <x:c r="K663" s="9" t="str">
        <x:v>No</x:v>
      </x:c>
      <x:c r="L663" s="9" t="str">
        <x:v>No</x:v>
      </x:c>
      <x:c r="M663" s="9" t="str">
        <x:v>Courtroom mystery</x:v>
      </x:c>
      <x:c r="N663" s="9" t="str">
        <x:v>Live-action</x:v>
      </x:c>
      <x:c r="O663" s="9" t="n">
        <x:v>7</x:v>
      </x:c>
      <x:c r="P663" s="9" t="str">
        <x:v>Interactive movie</x:v>
      </x:c>
      <x:c r="Q663" s="9" t="str">
        <x:v>Released</x:v>
      </x:c>
      <x:c r="R663" s="9" t="str">
        <x:v>Original production</x:v>
      </x:c>
      <x:c r="S663" s="9" t="str">
        <x:v>Macintosh</x:v>
      </x:c>
      <x:c r="T663" s="9" t="str">
        <x:v>Unknown — verify</x:v>
      </x:c>
      <x:c r="U663" s="9" t="n">
        <x:v>1</x:v>
      </x:c>
      <x:c r="V663" s="9" t="str">
        <x:v>Yes</x:v>
      </x:c>
      <x:c r="W663" s="9" t="str">
        <x:v>Windows 3.1/95, 486, 8 MB RAM, CD-ROM (verify); also Mac</x:v>
      </x:c>
      <x:c r="X663" s="9" t="str">
        <x:v>Low</x:v>
      </x:c>
      <x:c r="Y663" s="9" t="str"/>
      <x:c r="Z663" s="9" t="str">
        <x:v>2–4 hr</x:v>
      </x:c>
      <x:c r="AA663" s="9" t="str">
        <x:v>You're the prosecutor in a murder trial, interviewing filmed witnesses and building a case for a jury that might not convict.</x:v>
      </x:c>
      <x:c r="AB663" s="9" t="str">
        <x:v>None known</x:v>
      </x:c>
      <x:c r="AC663" s="9" t="str">
        <x:v>Small live-action windows in an office/courtroom interface</x:v>
      </x:c>
      <x:c r="AD663" s="9" t="str">
        <x:v>Medium; open-ended evidence gathering</x:v>
      </x:c>
      <x:c r="AE663" s="9" t="str">
        <x:v>Verdict varies with how you argue (multiple outcomes)</x:v>
      </x:c>
      <x:c r="AF663" s="9" t="str">
        <x:v>Broderbund's only live-action interactive mystery.</x:v>
      </x:c>
      <x:c r="AG663" s="9" t="str"/>
      <x:c r="AH663" s="9" t="str">
        <x:v>No</x:v>
      </x:c>
      <x:c r="AI663" s="9" t="str">
        <x:v>Easy</x:v>
      </x:c>
      <x:c r="AJ663" s="9" t="str">
        <x:v>86Box/PCem for Windows 3.1/95-era titles</x:v>
      </x:c>
      <x:c r="AK663" s="9" t="str"/>
      <x:c r="AL663" s="10"/>
      <x:c r="AM663" s="10" t="n">
        <x:v>19.62</x:v>
      </x:c>
      <x:c r="AN663" s="10" t="n">
        <x:v>39</x:v>
      </x:c>
      <x:c r="AO663" s="9" t="str">
        <x:v>2026-10-24</x:v>
      </x:c>
      <x:c r="AP663" s="11" t="str">
        <x:f>HYPERLINK("https://www.pricecharting.com/game/pc-games/in-the-1st-degree","PriceCharting")</x:f>
        <x:v>PriceCharting</x:v>
      </x:c>
      <x:c r="AQ663" s="9"/>
      <x:c r="AR663" s="9"/>
      <x:c r="AS663" s="9"/>
      <x:c r="AT663" s="9"/>
      <x:c r="AU663" s="9"/>
      <x:c r="AV663" s="9"/>
      <x:c r="AW663" s="9"/>
      <x:c r="AX663" s="9"/>
      <x:c r="AY663" s="9"/>
      <x:c r="AZ663" s="9"/>
      <x:c r="BA663" s="11" t="str">
        <x:f>HYPERLINK("https://www.mobygames.com/game/2035/in-the-1st-degree/","MobyGames")</x:f>
        <x:v>MobyGames</x:v>
      </x:c>
      <x:c r="BB663" s="9" t="str">
        <x:v>76%</x:v>
      </x:c>
      <x:c r="BC663" s="9" t="str">
        <x:v>GameRankings, 1 review</x:v>
      </x:c>
      <x:c r="BD663" s="9" t="str">
        <x:f>HYPERLINK("https://web.archive.org/web/20191209013734id_/https://www.gamerankings.com/pc/197619-in-the-1st-degree/","Source")</x:f>
        <x:v>Source</x:v>
      </x:c>
      <x:c r="BE663" s="11" t="str">
        <x:f>HYPERLINK("https://en.wikipedia.org/wiki/In_the_1st_Degree","Wikipedia")</x:f>
        <x:v>Wikipedia</x:v>
      </x:c>
      <x:c r="BF663" s="11" t="str">
        <x:f>HYPERLINK("https://backloggd.com/search/games/In%20the%201st%20Degree/","Backloggd")</x:f>
        <x:v>Backloggd</x:v>
      </x:c>
      <x:c r="BG663" s="9"/>
      <x:c r="BH663" s="9"/>
      <x:c r="BI663" s="12" t="str">
        <x:v>No</x:v>
      </x:c>
      <x:c r="BJ663" s="12" t="str"/>
      <x:c r="BK663" s="12" t="str">
        <x:v>No</x:v>
      </x:c>
      <x:c r="BL663" s="12" t="str"/>
      <x:c r="BM663" s="12" t="str"/>
      <x:c r="BN663" s="12" t="str"/>
      <x:c r="BO663" s="12" t="str"/>
      <x:c r="BP663" s="12" t="str"/>
      <x:c r="BQ663" s="12" t="str"/>
    </x:row>
    <x:row r="664">
      <x:c r="A664" s="9" t="str">
        <x:v>pc-134</x:v>
      </x:c>
      <x:c r="B664" s="9" t="str">
        <x:v>angel-devoid-face-of-the-enemy</x:v>
      </x:c>
      <x:c r="C664" s="9" t="str">
        <x:v>PC</x:v>
      </x:c>
      <x:c r="D664" s="9" t="str">
        <x:v>Angel Devoid: Face of the Enemy</x:v>
      </x:c>
      <x:c r="E664" s="9" t="str"/>
      <x:c r="F664" s="9" t="str">
        <x:v>Electric Dreams</x:v>
      </x:c>
      <x:c r="G664" s="9" t="str">
        <x:v>Mindscape</x:v>
      </x:c>
      <x:c r="H664" s="9" t="n">
        <x:v>1996</x:v>
      </x:c>
      <x:c r="I664" s="9" t="str">
        <x:v>Yes</x:v>
      </x:c>
      <x:c r="J664" s="9" t="str">
        <x:v>No</x:v>
      </x:c>
      <x:c r="K664" s="9" t="str">
        <x:v>No</x:v>
      </x:c>
      <x:c r="L664" s="9" t="str">
        <x:v>No</x:v>
      </x:c>
      <x:c r="M664" s="9" t="str">
        <x:v>Sci-fi noir adventure</x:v>
      </x:c>
      <x:c r="N664" s="9" t="str">
        <x:v>Live-action + pre-rendered CG</x:v>
      </x:c>
      <x:c r="O664" s="9" t="n">
        <x:v>6</x:v>
      </x:c>
      <x:c r="P664" s="9" t="str">
        <x:v>FMV adventure</x:v>
      </x:c>
      <x:c r="Q664" s="9" t="str">
        <x:v>Released</x:v>
      </x:c>
      <x:c r="R664" s="9" t="str">
        <x:v>Original production</x:v>
      </x:c>
      <x:c r="S664" s="9" t="str">
        <x:v>Macintosh</x:v>
      </x:c>
      <x:c r="T664" s="9" t="str">
        <x:v>Joseph Pilato, Eric Anderson and others</x:v>
      </x:c>
      <x:c r="U664" s="9" t="n">
        <x:v>2</x:v>
      </x:c>
      <x:c r="V664" s="9" t="str">
        <x:v>Yes</x:v>
      </x:c>
      <x:c r="W664" s="9" t="str">
        <x:v>DOS/Win95, 486DX2, 8 MB RAM, 2x CD-ROM, SVGA (verify)</x:v>
      </x:c>
      <x:c r="X664" s="9" t="str">
        <x:v>Low</x:v>
      </x:c>
      <x:c r="Y664" s="9" t="str"/>
      <x:c r="Z664" s="9" t="str">
        <x:v>5–10 hr</x:v>
      </x:c>
      <x:c r="AA664" s="9" t="str">
        <x:v>A cop with a stranger's face hunts a killer through a rain-soaked Blade Runner city of live actors in pre-rendered streets.</x:v>
      </x:c>
      <x:c r="AB664" s="9" t="str">
        <x:v>None known</x:v>
      </x:c>
      <x:c r="AC664" s="9" t="str">
        <x:v>Live-action actors composited into pre-rendered 3D, SVGA (verify)</x:v>
      </x:c>
      <x:c r="AD664" s="9" t="str">
        <x:v>Hard; obtuse puzzles and timed sequences</x:v>
      </x:c>
      <x:c r="AE664" s="9" t="str">
        <x:v>Single ending</x:v>
      </x:c>
      <x:c r="AF664" s="9" t="str">
        <x:v>Myst-style node movement with live-action characters; disc count verify.</x:v>
      </x:c>
      <x:c r="AG664" s="9" t="str"/>
      <x:c r="AH664" s="9" t="str">
        <x:v>No</x:v>
      </x:c>
      <x:c r="AI664" s="9" t="str">
        <x:v>Easy</x:v>
      </x:c>
      <x:c r="AJ664" s="9" t="str">
        <x:v>Original discs in DOSBox</x:v>
      </x:c>
      <x:c r="AK664" s="9" t="str"/>
      <x:c r="AL664" s="10" t="n">
        <x:v>6.49</x:v>
      </x:c>
      <x:c r="AM664" s="10" t="n">
        <x:v>15</x:v>
      </x:c>
      <x:c r="AN664" s="10" t="n">
        <x:v>15.24</x:v>
      </x:c>
      <x:c r="AO664" s="9" t="str">
        <x:v>2026-10-24</x:v>
      </x:c>
      <x:c r="AP664" s="11" t="str">
        <x:f>HYPERLINK("https://www.pricecharting.com/game/pc-games/angel-devoid-face-of-the-enemy","PriceCharting")</x:f>
        <x:v>PriceCharting</x:v>
      </x:c>
      <x:c r="AQ664" s="9"/>
      <x:c r="AR664" s="9"/>
      <x:c r="AS664" s="9"/>
      <x:c r="AT664" s="9"/>
      <x:c r="AU664" s="9"/>
      <x:c r="AV664" s="9"/>
      <x:c r="AW664" s="9"/>
      <x:c r="AX664" s="9"/>
      <x:c r="AY664" s="9" t="str">
        <x:v>52%</x:v>
      </x:c>
      <x:c r="AZ664" s="9"/>
      <x:c r="BA664" s="11" t="str">
        <x:f>HYPERLINK("https://www.mobygames.com/game/dos/angel-devoid-face-of-the-enemy","MobyGames")</x:f>
        <x:v>MobyGames</x:v>
      </x:c>
      <x:c r="BB664" s="9"/>
      <x:c r="BC664" s="9"/>
      <x:c r="BD664" s="9"/>
      <x:c r="BE664" s="11" t="str">
        <x:f>HYPERLINK("https://en.wikipedia.org/wiki/Angel_Devoid:_Face_of_the_Enemy","Wikipedia")</x:f>
        <x:v>Wikipedia</x:v>
      </x:c>
      <x:c r="BF664" s="11" t="str">
        <x:f>HYPERLINK("https://backloggd.com/search/games/Angel%20Devoid%3A%20Face%20of%20the%20Enemy/","Backloggd")</x:f>
        <x:v>Backloggd</x:v>
      </x:c>
      <x:c r="BG664" s="9"/>
      <x:c r="BH664" s="9"/>
      <x:c r="BI664" s="12" t="str">
        <x:v>No</x:v>
      </x:c>
      <x:c r="BJ664" s="12" t="str"/>
      <x:c r="BK664" s="12" t="str">
        <x:v>No</x:v>
      </x:c>
      <x:c r="BL664" s="12" t="str"/>
      <x:c r="BM664" s="12" t="str"/>
      <x:c r="BN664" s="12" t="str"/>
      <x:c r="BO664" s="12" t="str"/>
      <x:c r="BP664" s="12" t="str"/>
      <x:c r="BQ664" s="12" t="str"/>
    </x:row>
    <x:row r="665">
      <x:c r="A665" s="9" t="str">
        <x:v>pc-135</x:v>
      </x:c>
      <x:c r="B665" s="9" t="str">
        <x:v>panic-in-the-park</x:v>
      </x:c>
      <x:c r="C665" s="9" t="str">
        <x:v>PC</x:v>
      </x:c>
      <x:c r="D665" s="9" t="str">
        <x:v>Panic in the Park</x:v>
      </x:c>
      <x:c r="E665" s="9" t="str"/>
      <x:c r="F665" s="9" t="str">
        <x:v>WarnerActive</x:v>
      </x:c>
      <x:c r="G665" s="9" t="str">
        <x:v>WarnerActive</x:v>
      </x:c>
      <x:c r="H665" s="9" t="n">
        <x:v>1995</x:v>
      </x:c>
      <x:c r="I665" s="9" t="str">
        <x:v>Yes</x:v>
      </x:c>
      <x:c r="J665" s="9" t="str">
        <x:v>No</x:v>
      </x:c>
      <x:c r="K665" s="9" t="str">
        <x:v>No</x:v>
      </x:c>
      <x:c r="L665" s="9" t="str">
        <x:v>No</x:v>
      </x:c>
      <x:c r="M665" s="9" t="str">
        <x:v>FMV action / puzzle</x:v>
      </x:c>
      <x:c r="N665" s="9" t="str">
        <x:v>Live-action</x:v>
      </x:c>
      <x:c r="O665" s="9" t="n">
        <x:v>9</x:v>
      </x:c>
      <x:c r="P665" s="9" t="str">
        <x:v>Interactive movie</x:v>
      </x:c>
      <x:c r="Q665" s="9" t="str">
        <x:v>Released</x:v>
      </x:c>
      <x:c r="R665" s="9" t="str">
        <x:v>Original production</x:v>
      </x:c>
      <x:c r="S665" s="9" t="str"/>
      <x:c r="T665" s="9" t="str">
        <x:v>Erika Eleniak (Jamie and Janie), Michael Clarke Duncan (security guard); about 30 actors in all</x:v>
      </x:c>
      <x:c r="U665" s="9" t="n">
        <x:v>1</x:v>
      </x:c>
      <x:c r="V665" s="9" t="str">
        <x:v>Unknown — verify</x:v>
      </x:c>
      <x:c r="W665" s="9" t="str">
        <x:v>Windows 3.1/95, 486, CD-ROM (verify)</x:v>
      </x:c>
      <x:c r="X665" s="9" t="str">
        <x:v>Low</x:v>
      </x:c>
      <x:c r="Y665" s="9" t="str"/>
      <x:c r="Z665" s="9" t="str">
        <x:v>1–2 hr</x:v>
      </x:c>
      <x:c r="AA665" s="9" t="str">
        <x:v>An FMV thriller in an amusement park where puzzle mini-games stand between you and a bomb (verify premise).</x:v>
      </x:c>
      <x:c r="AB665" s="9" t="str">
        <x:v>None known</x:v>
      </x:c>
      <x:c r="AC665" s="9" t="str">
        <x:v>Live-action video (verify)</x:v>
      </x:c>
      <x:c r="AD665" s="9" t="str">
        <x:v>Unknown — verify</x:v>
      </x:c>
      <x:c r="AE665" s="9" t="str">
        <x:v>Unknown — verify</x:v>
      </x:c>
      <x:c r="AF665" s="9" t="str">
        <x:v>One of WarnerActive's few live-action titles.</x:v>
      </x:c>
      <x:c r="AG665" s="9" t="str"/>
      <x:c r="AH665" s="9" t="str">
        <x:v>No</x:v>
      </x:c>
      <x:c r="AI665" s="9" t="str">
        <x:v>Easy</x:v>
      </x:c>
      <x:c r="AJ665" s="9" t="str">
        <x:v>86Box/PCem for Windows 3.1/95-era titles</x:v>
      </x:c>
      <x:c r="AK665" s="9" t="str">
        <x:v>Premise, cast and disc count not confirmed (fetch budget ran out); search results link Erika Eleniak to the game.</x:v>
      </x:c>
      <x:c r="AL665" s="10" t="n">
        <x:v>10.48</x:v>
      </x:c>
      <x:c r="AM665" s="10" t="n">
        <x:v>30</x:v>
      </x:c>
      <x:c r="AN665" s="10" t="n">
        <x:v>60</x:v>
      </x:c>
      <x:c r="AO665" s="9" t="str">
        <x:v>2026-10-24</x:v>
      </x:c>
      <x:c r="AP665" s="11" t="str">
        <x:f>HYPERLINK("https://www.pricecharting.com/game/pc-games/panic-in-the-park","PriceCharting")</x:f>
        <x:v>PriceCharting</x:v>
      </x:c>
      <x:c r="AQ665" s="9"/>
      <x:c r="AR665" s="9"/>
      <x:c r="AS665" s="9"/>
      <x:c r="AT665" s="9"/>
      <x:c r="AU665" s="9"/>
      <x:c r="AV665" s="9"/>
      <x:c r="AW665" s="9"/>
      <x:c r="AX665" s="9"/>
      <x:c r="AY665" s="9"/>
      <x:c r="AZ665" s="9"/>
      <x:c r="BA665" s="11" t="str">
        <x:f>HYPERLINK("https://www.mobygames.com/game/14349/panic-in-the-park/","MobyGames")</x:f>
        <x:v>MobyGames</x:v>
      </x:c>
      <x:c r="BB665" s="9"/>
      <x:c r="BC665" s="9"/>
      <x:c r="BD665" s="9"/>
      <x:c r="BE665" s="11" t="str">
        <x:f>HYPERLINK("https://en.wikipedia.org/wiki/Panic_in_the_Park","Wikipedia")</x:f>
        <x:v>Wikipedia</x:v>
      </x:c>
      <x:c r="BF665" s="11" t="str">
        <x:f>HYPERLINK("https://backloggd.com/search/games/Panic%20in%20the%20Park/","Backloggd")</x:f>
        <x:v>Backloggd</x:v>
      </x:c>
      <x:c r="BG665" s="9"/>
      <x:c r="BH665" s="9"/>
      <x:c r="BI665" s="12" t="str">
        <x:v>No</x:v>
      </x:c>
      <x:c r="BJ665" s="12" t="str"/>
      <x:c r="BK665" s="12" t="str">
        <x:v>No</x:v>
      </x:c>
      <x:c r="BL665" s="12" t="str"/>
      <x:c r="BM665" s="12" t="str"/>
      <x:c r="BN665" s="12" t="str"/>
      <x:c r="BO665" s="12" t="str"/>
      <x:c r="BP665" s="12" t="str"/>
      <x:c r="BQ665" s="12" t="str"/>
    </x:row>
    <x:row r="666">
      <x:c r="A666" s="9" t="str">
        <x:v>pc-136</x:v>
      </x:c>
      <x:c r="B666" s="9" t="str">
        <x:v>noctropolis</x:v>
      </x:c>
      <x:c r="C666" s="9" t="str">
        <x:v>PC</x:v>
      </x:c>
      <x:c r="D666" s="9" t="str">
        <x:v>Noctropolis</x:v>
      </x:c>
      <x:c r="E666" s="9" t="str"/>
      <x:c r="F666" s="9" t="str">
        <x:v>Flashpoint Productions</x:v>
      </x:c>
      <x:c r="G666" s="9" t="str">
        <x:v>Electronic Arts</x:v>
      </x:c>
      <x:c r="H666" s="9" t="n">
        <x:v>1994</x:v>
      </x:c>
      <x:c r="I666" s="9" t="str">
        <x:v>Yes</x:v>
      </x:c>
      <x:c r="J666" s="9" t="str">
        <x:v>No</x:v>
      </x:c>
      <x:c r="K666" s="9" t="str">
        <x:v>No</x:v>
      </x:c>
      <x:c r="L666" s="9" t="str">
        <x:v>No</x:v>
      </x:c>
      <x:c r="M666" s="9" t="str">
        <x:v>Comic-book adventure</x:v>
      </x:c>
      <x:c r="N666" s="9" t="str">
        <x:v>Live-action + CG</x:v>
      </x:c>
      <x:c r="O666" s="9" t="n">
        <x:v>4</x:v>
      </x:c>
      <x:c r="P666" s="9" t="str">
        <x:v>FMV adventure</x:v>
      </x:c>
      <x:c r="Q666" s="9" t="str">
        <x:v>Released</x:v>
      </x:c>
      <x:c r="R666" s="9" t="str">
        <x:v>Original production</x:v>
      </x:c>
      <x:c r="S666" s="9" t="str"/>
      <x:c r="T666" s="9" t="str">
        <x:v>Unknown — verify</x:v>
      </x:c>
      <x:c r="U666" s="9" t="n">
        <x:v>1</x:v>
      </x:c>
      <x:c r="V666" s="9" t="str">
        <x:v>Yes</x:v>
      </x:c>
      <x:c r="W666" s="9" t="str">
        <x:v>DOS, 386/486, 4 MB RAM, CD-ROM, VGA/SVGA (verify)</x:v>
      </x:c>
      <x:c r="X666" s="9" t="str">
        <x:v>Low</x:v>
      </x:c>
      <x:c r="Y666" s="9" t="str"/>
      <x:c r="Z666" s="9" t="str">
        <x:v>6–10 hr</x:v>
      </x:c>
      <x:c r="AA666" s="9" t="str">
        <x:v>A bookstore owner gets pulled into his favorite comic and becomes its masked hero, with digitized actors and live-action cutscenes.</x:v>
      </x:c>
      <x:c r="AB666" s="9" t="str">
        <x:v>None known</x:v>
      </x:c>
      <x:c r="AC666" s="9" t="str">
        <x:v>320x200 VGA digitized actors and video cutscenes (verify)</x:v>
      </x:c>
      <x:c r="AD666" s="9" t="str">
        <x:v>Medium point-and-click</x:v>
      </x:c>
      <x:c r="AE666" s="9" t="str">
        <x:v>Multiple endings (verify)</x:v>
      </x:c>
      <x:c r="AF666" s="9" t="str">
        <x:v>Comic-book panels frame the story; the CD-only release used digitized actors throughout.</x:v>
      </x:c>
      <x:c r="AG666" s="9" t="str"/>
      <x:c r="AH666" s="9" t="str">
        <x:v>Yes (GOG, verify)</x:v>
      </x:c>
      <x:c r="AI666" s="9" t="str">
        <x:v>Easy</x:v>
      </x:c>
      <x:c r="AJ666" s="9" t="str">
        <x:v>GOG re-release (verify), else original disc in DOSBox</x:v>
      </x:c>
      <x:c r="AK666" s="9" t="str"/>
      <x:c r="AL666" s="10" t="n">
        <x:v>6.49</x:v>
      </x:c>
      <x:c r="AM666" s="10" t="n">
        <x:v>25</x:v>
      </x:c>
      <x:c r="AN666" s="10" t="n">
        <x:v>30.94</x:v>
      </x:c>
      <x:c r="AO666" s="9" t="str">
        <x:v>2026-10-24</x:v>
      </x:c>
      <x:c r="AP666" s="11" t="str">
        <x:f>HYPERLINK("https://www.pricecharting.com/game/pc-games/noctropolis","PriceCharting")</x:f>
        <x:v>PriceCharting</x:v>
      </x:c>
      <x:c r="AQ666" s="9" t="n">
        <x:v>9.99</x:v>
      </x:c>
      <x:c r="AR666" s="11" t="str">
        <x:v>Steam</x:v>
      </x:c>
      <x:c r="AS666" s="9" t="str">
        <x:f>HYPERLINK("https://store.steampowered.com/app/377070/","Store")</x:f>
        <x:v>Store</x:v>
      </x:c>
      <x:c r="AT666" s="9" t="str">
        <x:v>2026-10-24</x:v>
      </x:c>
      <x:c r="AU666" s="9"/>
      <x:c r="AV666" s="9"/>
      <x:c r="AW666" s="9"/>
      <x:c r="AX666" s="9"/>
      <x:c r="AY666" s="9"/>
      <x:c r="AZ666" s="9"/>
      <x:c r="BA666" s="11" t="str">
        <x:f>HYPERLINK("https://www.mobygames.com/game/1511","MobyGames")</x:f>
        <x:v>MobyGames</x:v>
      </x:c>
      <x:c r="BB666" s="9" t="str">
        <x:v>57%</x:v>
      </x:c>
      <x:c r="BC666" s="9" t="str">
        <x:v>GameRankings, 3 reviews</x:v>
      </x:c>
      <x:c r="BD666" s="9" t="str">
        <x:f>HYPERLINK("https://web.archive.org/web/20191209013612id_/https://www.gamerankings.com/pc/564970-noctropolis/","Source")</x:f>
        <x:v>Source</x:v>
      </x:c>
      <x:c r="BE666" s="11" t="str">
        <x:f>HYPERLINK("https://en.wikipedia.org/wiki/Noctropolis","Wikipedia")</x:f>
        <x:v>Wikipedia</x:v>
      </x:c>
      <x:c r="BF666" s="11" t="str">
        <x:f>HYPERLINK("https://backloggd.com/search/games/Noctropolis/","Backloggd")</x:f>
        <x:v>Backloggd</x:v>
      </x:c>
      <x:c r="BG666" s="9"/>
      <x:c r="BH666" s="9"/>
      <x:c r="BI666" s="12" t="str">
        <x:v>No</x:v>
      </x:c>
      <x:c r="BJ666" s="12" t="str"/>
      <x:c r="BK666" s="12" t="str">
        <x:v>No</x:v>
      </x:c>
      <x:c r="BL666" s="12" t="str"/>
      <x:c r="BM666" s="12" t="str"/>
      <x:c r="BN666" s="12" t="str"/>
      <x:c r="BO666" s="12" t="str"/>
      <x:c r="BP666" s="12" t="str"/>
      <x:c r="BQ666" s="12" t="str"/>
    </x:row>
    <x:row r="667">
      <x:c r="A667" s="9" t="str">
        <x:v>pc-137</x:v>
      </x:c>
      <x:c r="B667" s="9" t="str">
        <x:v>santa-fe-mysteries-the-elk-moon-murder</x:v>
      </x:c>
      <x:c r="C667" s="9" t="str">
        <x:v>PC</x:v>
      </x:c>
      <x:c r="D667" s="9" t="str">
        <x:v>Santa Fe Mysteries: The Elk Moon Murder</x:v>
      </x:c>
      <x:c r="E667" s="9" t="str"/>
      <x:c r="F667" s="9" t="str">
        <x:v>Sanctuary Woods</x:v>
      </x:c>
      <x:c r="G667" s="9" t="str">
        <x:v>Activision</x:v>
      </x:c>
      <x:c r="H667" s="9" t="n">
        <x:v>1996</x:v>
      </x:c>
      <x:c r="I667" s="9" t="str">
        <x:v>Yes</x:v>
      </x:c>
      <x:c r="J667" s="9" t="str">
        <x:v>No</x:v>
      </x:c>
      <x:c r="K667" s="9" t="str">
        <x:v>No</x:v>
      </x:c>
      <x:c r="L667" s="9" t="str">
        <x:v>No</x:v>
      </x:c>
      <x:c r="M667" s="9" t="str">
        <x:v>Mystery</x:v>
      </x:c>
      <x:c r="N667" s="9" t="str">
        <x:v>Live-action</x:v>
      </x:c>
      <x:c r="O667" s="9" t="n">
        <x:v>8</x:v>
      </x:c>
      <x:c r="P667" s="9" t="str">
        <x:v>Interactive movie</x:v>
      </x:c>
      <x:c r="Q667" s="9" t="str">
        <x:v>Released</x:v>
      </x:c>
      <x:c r="R667" s="9" t="str">
        <x:v>Original production</x:v>
      </x:c>
      <x:c r="S667" s="9" t="str">
        <x:v>Macintosh</x:v>
      </x:c>
      <x:c r="T667" s="9" t="str">
        <x:v>Unknown — verify</x:v>
      </x:c>
      <x:c r="U667" s="9" t="n">
        <x:v>1</x:v>
      </x:c>
      <x:c r="V667" s="9" t="str">
        <x:v>Yes</x:v>
      </x:c>
      <x:c r="W667" s="9" t="str">
        <x:v>Windows 95/3.1, 486, 8 MB RAM, 2x CD-ROM (verify)</x:v>
      </x:c>
      <x:c r="X667" s="9" t="str">
        <x:v>Low</x:v>
      </x:c>
      <x:c r="Y667" s="9" t="str"/>
      <x:c r="Z667" s="9" t="str">
        <x:v>3–5 hr</x:v>
      </x:c>
      <x:c r="AA667" s="9" t="str">
        <x:v>A live-action New Mexico murder case where you interview suspects on video and file a report to solve it.</x:v>
      </x:c>
      <x:c r="AB667" s="9" t="str">
        <x:v>None known</x:v>
      </x:c>
      <x:c r="AC667" s="9" t="str">
        <x:v>Live-action clips and photos (verify)</x:v>
      </x:c>
      <x:c r="AD667" s="9" t="str">
        <x:v>Medium; deduction quiz at the end</x:v>
      </x:c>
      <x:c r="AE667" s="9" t="str">
        <x:v>Solve or fail</x:v>
      </x:c>
      <x:c r="AF667" s="9" t="str">
        <x:v>Followed by Santa Fe Mysteries: Sacred Ground.</x:v>
      </x:c>
      <x:c r="AG667" s="9" t="str"/>
      <x:c r="AH667" s="9" t="str">
        <x:v>No</x:v>
      </x:c>
      <x:c r="AI667" s="9" t="str">
        <x:v>Easy</x:v>
      </x:c>
      <x:c r="AJ667" s="9" t="str">
        <x:v>86Box/PCem for Windows 95-era titles</x:v>
      </x:c>
      <x:c r="AK667" s="9" t="str">
        <x:v>Developer may be Activision in-house rather than Sanctuary Woods (verify).</x:v>
      </x:c>
      <x:c r="AL667" s="10" t="n">
        <x:v>11.97</x:v>
      </x:c>
      <x:c r="AM667" s="10" t="n">
        <x:v>24.99</x:v>
      </x:c>
      <x:c r="AN667" s="10" t="n">
        <x:v>50</x:v>
      </x:c>
      <x:c r="AO667" s="9" t="str">
        <x:v>2026-10-24</x:v>
      </x:c>
      <x:c r="AP667" s="11" t="str">
        <x:f>HYPERLINK("https://www.pricecharting.com/game/pc-games/santa-fe-mysteries-the-elk-moon-murder","PriceCharting")</x:f>
        <x:v>PriceCharting</x:v>
      </x:c>
      <x:c r="AQ667" s="9"/>
      <x:c r="AR667" s="9"/>
      <x:c r="AS667" s="9"/>
      <x:c r="AT667" s="9"/>
      <x:c r="AU667" s="9"/>
      <x:c r="AV667" s="9"/>
      <x:c r="AW667" s="9"/>
      <x:c r="AX667" s="9"/>
      <x:c r="AY667" s="9" t="str">
        <x:v>60%</x:v>
      </x:c>
      <x:c r="AZ667" s="9"/>
      <x:c r="BA667" s="11" t="str">
        <x:f>HYPERLINK("https://www.mobygames.com/game/dos/santa-fe-mysteries-the-elk-moon-murder","MobyGames")</x:f>
        <x:v>MobyGames</x:v>
      </x:c>
      <x:c r="BB667" s="9"/>
      <x:c r="BC667" s="9"/>
      <x:c r="BD667" s="9"/>
      <x:c r="BE667" s="11" t="str">
        <x:f>HYPERLINK("https://en.wikipedia.org/wiki/Santa_Fe_Mysteries:_The_Elk_Moon_Murder","Wikipedia")</x:f>
        <x:v>Wikipedia</x:v>
      </x:c>
      <x:c r="BF667" s="11" t="str">
        <x:f>HYPERLINK("https://backloggd.com/search/games/Santa%20Fe%20Mysteries%3A%20The%20Elk%20Moon%20Murder/","Backloggd")</x:f>
        <x:v>Backloggd</x:v>
      </x:c>
      <x:c r="BG667" s="9"/>
      <x:c r="BH667" s="9"/>
      <x:c r="BI667" s="12" t="str">
        <x:v>No</x:v>
      </x:c>
      <x:c r="BJ667" s="12" t="str"/>
      <x:c r="BK667" s="12" t="str">
        <x:v>No</x:v>
      </x:c>
      <x:c r="BL667" s="12" t="str"/>
      <x:c r="BM667" s="12" t="str"/>
      <x:c r="BN667" s="12" t="str"/>
      <x:c r="BO667" s="12" t="str"/>
      <x:c r="BP667" s="12" t="str"/>
      <x:c r="BQ667" s="12" t="str"/>
    </x:row>
    <x:row r="668">
      <x:c r="A668" s="9" t="str">
        <x:v>pc-138</x:v>
      </x:c>
      <x:c r="B668" s="9" t="str">
        <x:v>steven-spielbergs-directors-chair</x:v>
      </x:c>
      <x:c r="C668" s="9" t="str">
        <x:v>PC</x:v>
      </x:c>
      <x:c r="D668" s="9" t="str">
        <x:v>Steven Spielberg's Director's Chair</x:v>
      </x:c>
      <x:c r="E668" s="9" t="str"/>
      <x:c r="F668" s="9" t="str">
        <x:v>Knowledge Adventure / DreamWorks Interactive</x:v>
      </x:c>
      <x:c r="G668" s="9" t="str">
        <x:v>Knowledge Adventure</x:v>
      </x:c>
      <x:c r="H668" s="9" t="n">
        <x:v>1996</x:v>
      </x:c>
      <x:c r="I668" s="9" t="str">
        <x:v>Yes</x:v>
      </x:c>
      <x:c r="J668" s="9" t="str">
        <x:v>No</x:v>
      </x:c>
      <x:c r="K668" s="9" t="str">
        <x:v>No</x:v>
      </x:c>
      <x:c r="L668" s="9" t="str">
        <x:v>No</x:v>
      </x:c>
      <x:c r="M668" s="9" t="str">
        <x:v>Film-making sim</x:v>
      </x:c>
      <x:c r="N668" s="9" t="str">
        <x:v>Live-action</x:v>
      </x:c>
      <x:c r="O668" s="9" t="n">
        <x:v>8</x:v>
      </x:c>
      <x:c r="P668" s="9" t="str">
        <x:v>Interactive movie</x:v>
      </x:c>
      <x:c r="Q668" s="9" t="str">
        <x:v>Released</x:v>
      </x:c>
      <x:c r="R668" s="9" t="str">
        <x:v>Original production</x:v>
      </x:c>
      <x:c r="S668" s="9" t="str">
        <x:v>Macintosh</x:v>
      </x:c>
      <x:c r="T668" s="9" t="str">
        <x:v>Steven Spielberg, Quentin Tarantino, Jennifer Aniston, Penn &amp; Teller (verify)</x:v>
      </x:c>
      <x:c r="U668" s="9" t="n">
        <x:v>2</x:v>
      </x:c>
      <x:c r="V668" s="9" t="str">
        <x:v>Yes</x:v>
      </x:c>
      <x:c r="W668" s="9" t="str">
        <x:v>Windows 3.1/95, 486, 8 MB RAM, 2x CD-ROM (verify); also Mac</x:v>
      </x:c>
      <x:c r="X668" s="9" t="str">
        <x:v>Low</x:v>
      </x:c>
      <x:c r="Y668" s="9" t="str"/>
      <x:c r="Z668" s="9" t="str">
        <x:v>2–4 hr</x:v>
      </x:c>
      <x:c r="AA668" s="9" t="str">
        <x:v>Spielberg coaches you through shooting, editing and scoring a movie starring Quentin Tarantino and Jennifer Aniston.</x:v>
      </x:c>
      <x:c r="AB668" s="9" t="str">
        <x:v>None known</x:v>
      </x:c>
      <x:c r="AC668" s="9" t="str">
        <x:v>Live-action footage you edit together (verify resolution)</x:v>
      </x:c>
      <x:c r="AD668" s="9" t="str">
        <x:v>Easy; creative sandbox</x:v>
      </x:c>
      <x:c r="AE668" s="9" t="str">
        <x:v>Your edit plays back as the finished movie</x:v>
      </x:c>
      <x:c r="AF668" s="9" t="str">
        <x:v>Playable in the browser via the Internet Archive since 2020.</x:v>
      </x:c>
      <x:c r="AG668" s="9" t="str">
        <x:v>Win/Mac hybrid</x:v>
      </x:c>
      <x:c r="AH668" s="9" t="str">
        <x:v>No</x:v>
      </x:c>
      <x:c r="AI668" s="9" t="str">
        <x:v>Easy</x:v>
      </x:c>
      <x:c r="AJ668" s="9" t="str">
        <x:v>Internet Archive browser emulation, or 86Box/PCem</x:v>
      </x:c>
      <x:c r="AK668" s="9" t="str">
        <x:v>Disc count (verify). Not priced: fetch budget ran out.</x:v>
      </x:c>
      <x:c r="AL668" s="10"/>
      <x:c r="AM668" s="10"/>
      <x:c r="AN668" s="10"/>
      <x:c r="AO668" s="9"/>
      <x:c r="AP668" s="11" t="str">
        <x:f>HYPERLINK("https://www.pricecharting.com/search-products?q=Steven+Spielberg%27s+Director%27s+Chair+pc+games&amp;type=prices","PriceCharting")</x:f>
        <x:v>PriceCharting</x:v>
      </x:c>
      <x:c r="AQ668" s="9"/>
      <x:c r="AR668" s="9"/>
      <x:c r="AS668" s="9"/>
      <x:c r="AT668" s="9"/>
      <x:c r="AU668" s="9" t="str">
        <x:v>No market</x:v>
      </x:c>
      <x:c r="AV668" s="9" t="str">
        <x:v>Not sold on Steam or GOG (checked 2026-10-25) and no PriceCharting listing.</x:v>
      </x:c>
      <x:c r="AW668" s="9"/>
      <x:c r="AX668" s="9"/>
      <x:c r="AY668" s="9" t="str">
        <x:v>61%</x:v>
      </x:c>
      <x:c r="AZ668" s="9"/>
      <x:c r="BA668" s="11" t="str">
        <x:f>HYPERLINK("https://www.mobygames.com/game/windows/steven-spielbergs-directors-chair","MobyGames")</x:f>
        <x:v>MobyGames</x:v>
      </x:c>
      <x:c r="BB668" s="9"/>
      <x:c r="BC668" s="9"/>
      <x:c r="BD668" s="9"/>
      <x:c r="BE668" s="11" t="str">
        <x:f>HYPERLINK("https://en.wikipedia.org/wiki/Steven_Spielberg%27s_Director%27s_Chair","Wikipedia")</x:f>
        <x:v>Wikipedia</x:v>
      </x:c>
      <x:c r="BF668" s="11" t="str">
        <x:f>HYPERLINK("https://backloggd.com/search/games/Steven%20Spielberg%27s%20Director%27s%20Chair/","Backloggd")</x:f>
        <x:v>Backloggd</x:v>
      </x:c>
      <x:c r="BG668" s="9"/>
      <x:c r="BH668" s="9"/>
      <x:c r="BI668" s="12" t="str">
        <x:v>No</x:v>
      </x:c>
      <x:c r="BJ668" s="12" t="str"/>
      <x:c r="BK668" s="12" t="str">
        <x:v>No</x:v>
      </x:c>
      <x:c r="BL668" s="12" t="str"/>
      <x:c r="BM668" s="12" t="str"/>
      <x:c r="BN668" s="12" t="str"/>
      <x:c r="BO668" s="12" t="str"/>
      <x:c r="BP668" s="12" t="str"/>
      <x:c r="BQ668" s="12" t="str"/>
    </x:row>
    <x:row r="669">
      <x:c r="A669" s="9" t="str">
        <x:v>pc-139</x:v>
      </x:c>
      <x:c r="B669" s="9" t="str">
        <x:v>pyst</x:v>
      </x:c>
      <x:c r="C669" s="9" t="str">
        <x:v>PC</x:v>
      </x:c>
      <x:c r="D669" s="9" t="str">
        <x:v>Pyst</x:v>
      </x:c>
      <x:c r="E669" s="9" t="str"/>
      <x:c r="F669" s="9" t="str">
        <x:v>Parroty Interactive</x:v>
      </x:c>
      <x:c r="G669" s="9" t="str">
        <x:v>Palladium Interactive</x:v>
      </x:c>
      <x:c r="H669" s="9" t="n">
        <x:v>1996</x:v>
      </x:c>
      <x:c r="I669" s="9" t="str">
        <x:v>Yes</x:v>
      </x:c>
      <x:c r="J669" s="9" t="str">
        <x:v>No</x:v>
      </x:c>
      <x:c r="K669" s="9" t="str">
        <x:v>No</x:v>
      </x:c>
      <x:c r="L669" s="9" t="str">
        <x:v>No</x:v>
      </x:c>
      <x:c r="M669" s="9" t="str">
        <x:v>Parody / exploration</x:v>
      </x:c>
      <x:c r="N669" s="9" t="str">
        <x:v>Live-action + pre-rendered CG</x:v>
      </x:c>
      <x:c r="O669" s="9" t="n">
        <x:v>3</x:v>
      </x:c>
      <x:c r="P669" s="9" t="str">
        <x:v>Pre-rendered CG</x:v>
      </x:c>
      <x:c r="Q669" s="9" t="str">
        <x:v>Released</x:v>
      </x:c>
      <x:c r="R669" s="9" t="str">
        <x:v>Parody of Myst</x:v>
      </x:c>
      <x:c r="S669" s="9" t="str">
        <x:v>Macintosh</x:v>
      </x:c>
      <x:c r="T669" s="9" t="str">
        <x:v>John Goodman (King Mattruss)</x:v>
      </x:c>
      <x:c r="U669" s="9" t="n">
        <x:v>1</x:v>
      </x:c>
      <x:c r="V669" s="9" t="str">
        <x:v>No</x:v>
      </x:c>
      <x:c r="W669" s="9" t="str">
        <x:v>Windows 3.1/95, CD-ROM (verify); also Mac</x:v>
      </x:c>
      <x:c r="X669" s="9" t="str">
        <x:v>Low</x:v>
      </x:c>
      <x:c r="Y669" s="9" t="str"/>
      <x:c r="Z669" s="9" t="str">
        <x:v>30–60 min</x:v>
      </x:c>
      <x:c r="AA669" s="9" t="str">
        <x:v>John Goodman stars in a Myst parody where the island has been trashed by millions of tourists.</x:v>
      </x:c>
      <x:c r="AB669" s="9" t="str">
        <x:v>None known</x:v>
      </x:c>
      <x:c r="AC669" s="9" t="str">
        <x:v>Short live-action clips of John Goodman over rendered stills</x:v>
      </x:c>
      <x:c r="AD669" s="9" t="str">
        <x:v>None; no puzzles</x:v>
      </x:c>
      <x:c r="AE669" s="9" t="str">
        <x:v>None; free exploration</x:v>
      </x:c>
      <x:c r="AF669" s="9" t="str">
        <x:v>Parroty Interactive's first product, followed by The Space Bar parody and others.</x:v>
      </x:c>
      <x:c r="AG669" s="9" t="str"/>
      <x:c r="AH669" s="9" t="str">
        <x:v>No</x:v>
      </x:c>
      <x:c r="AI669" s="9" t="str">
        <x:v>Easy</x:v>
      </x:c>
      <x:c r="AJ669" s="9" t="str">
        <x:v>86Box/PCem for Windows 95-era titles</x:v>
      </x:c>
      <x:c r="AK669" s="9" t="str">
        <x:v>Not really a game: point-and-click joke tour with Goodman video segments.</x:v>
      </x:c>
      <x:c r="AL669" s="10" t="n">
        <x:v>7.52</x:v>
      </x:c>
      <x:c r="AM669" s="10" t="n">
        <x:v>20</x:v>
      </x:c>
      <x:c r="AN669" s="10" t="n">
        <x:v>41.47</x:v>
      </x:c>
      <x:c r="AO669" s="9" t="str">
        <x:v>2026-10-24</x:v>
      </x:c>
      <x:c r="AP669" s="11" t="str">
        <x:f>HYPERLINK("https://www.pricecharting.com/game/pc-games/pyst","PriceCharting")</x:f>
        <x:v>PriceCharting</x:v>
      </x:c>
      <x:c r="AQ669" s="9"/>
      <x:c r="AR669" s="9"/>
      <x:c r="AS669" s="9"/>
      <x:c r="AT669" s="9"/>
      <x:c r="AU669" s="9"/>
      <x:c r="AV669" s="9"/>
      <x:c r="AW669" s="9"/>
      <x:c r="AX669" s="9"/>
      <x:c r="AY669" s="9" t="str">
        <x:v>44%</x:v>
      </x:c>
      <x:c r="AZ669" s="9"/>
      <x:c r="BA669" s="11" t="str">
        <x:f>HYPERLINK("https://www.mobygames.com/game/windows/pyst","MobyGames")</x:f>
        <x:v>MobyGames</x:v>
      </x:c>
      <x:c r="BB669" s="9"/>
      <x:c r="BC669" s="9"/>
      <x:c r="BD669" s="9"/>
      <x:c r="BE669" s="11" t="str">
        <x:f>HYPERLINK("https://en.wikipedia.org/wiki/Pyst","Wikipedia")</x:f>
        <x:v>Wikipedia</x:v>
      </x:c>
      <x:c r="BF669" s="11" t="str">
        <x:f>HYPERLINK("https://backloggd.com/search/games/Pyst/","Backloggd")</x:f>
        <x:v>Backloggd</x:v>
      </x:c>
      <x:c r="BG669" s="9"/>
      <x:c r="BH669" s="9"/>
      <x:c r="BI669" s="12" t="str">
        <x:v>No</x:v>
      </x:c>
      <x:c r="BJ669" s="12" t="str"/>
      <x:c r="BK669" s="12" t="str">
        <x:v>No</x:v>
      </x:c>
      <x:c r="BL669" s="12" t="str"/>
      <x:c r="BM669" s="12" t="str"/>
      <x:c r="BN669" s="12" t="str"/>
      <x:c r="BO669" s="12" t="str"/>
      <x:c r="BP669" s="12" t="str"/>
      <x:c r="BQ669" s="12" t="str"/>
    </x:row>
    <x:row r="670">
      <x:c r="A670" s="9" t="str">
        <x:v>pc-140</x:v>
      </x:c>
      <x:c r="B670" s="9" t="str">
        <x:v>monty-python-and-the-quest-for-the-holy-grail</x:v>
      </x:c>
      <x:c r="C670" s="9" t="str">
        <x:v>PC</x:v>
      </x:c>
      <x:c r="D670" s="9" t="str">
        <x:v>Monty Python &amp; the Quest for the Holy Grail</x:v>
      </x:c>
      <x:c r="E670" s="9" t="str"/>
      <x:c r="F670" s="9" t="str">
        <x:v>7th Level</x:v>
      </x:c>
      <x:c r="G670" s="9" t="str">
        <x:v>7th Level</x:v>
      </x:c>
      <x:c r="H670" s="9" t="n">
        <x:v>1996</x:v>
      </x:c>
      <x:c r="I670" s="9" t="str">
        <x:v>Yes</x:v>
      </x:c>
      <x:c r="J670" s="9" t="str">
        <x:v>No</x:v>
      </x:c>
      <x:c r="K670" s="9" t="str">
        <x:v>No</x:v>
      </x:c>
      <x:c r="L670" s="9" t="str">
        <x:v>No</x:v>
      </x:c>
      <x:c r="M670" s="9" t="str">
        <x:v>Comedy adventure</x:v>
      </x:c>
      <x:c r="N670" s="9" t="str">
        <x:v>Live-action + CG</x:v>
      </x:c>
      <x:c r="O670" s="9" t="n">
        <x:v>3</x:v>
      </x:c>
      <x:c r="P670" s="9" t="str">
        <x:v>Cutscenes only</x:v>
      </x:c>
      <x:c r="Q670" s="9" t="str">
        <x:v>Released</x:v>
      </x:c>
      <x:c r="R670" s="9" t="str">
        <x:v>Film license (Monty Python and the Holy Grail)</x:v>
      </x:c>
      <x:c r="S670" s="9" t="str">
        <x:v>Macintosh</x:v>
      </x:c>
      <x:c r="T670" s="9" t="str">
        <x:v>Monty Python film clips; new voice work by Terry Jones, Eric Idle and Michael Palin</x:v>
      </x:c>
      <x:c r="U670" s="9" t="n">
        <x:v>1</x:v>
      </x:c>
      <x:c r="V670" s="9" t="str">
        <x:v>Yes</x:v>
      </x:c>
      <x:c r="W670" s="9" t="str">
        <x:v>Windows 3.1/95, 486, 8 MB RAM, 2x CD-ROM</x:v>
      </x:c>
      <x:c r="X670" s="9" t="str">
        <x:v>HIGH</x:v>
      </x:c>
      <x:c r="Y670" s="9" t="str">
        <x:v>Clips from the 1975 film and its music</x:v>
      </x:c>
      <x:c r="Z670" s="9" t="str">
        <x:v>3–5 hr</x:v>
      </x:c>
      <x:c r="AA670" s="9" t="str">
        <x:v>The Holy Grail turned into a Gilliam-animated adventure, cut together with scenes from the movie itself.</x:v>
      </x:c>
      <x:c r="AB670" s="9" t="str">
        <x:v>None known</x:v>
      </x:c>
      <x:c r="AC670" s="9" t="str">
        <x:v>Film clips in a small window</x:v>
      </x:c>
      <x:c r="AD670" s="9" t="str">
        <x:v>Medium; silly puzzles and mini-games</x:v>
      </x:c>
      <x:c r="AE670" s="9" t="str">
        <x:v>Single ending</x:v>
      </x:c>
      <x:c r="AF670" s="9" t="str">
        <x:v>Includes the Desktop Pythonizer and mini-games like 'Drop Dead'.</x:v>
      </x:c>
      <x:c r="AG670" s="9" t="str"/>
      <x:c r="AH670" s="9" t="str">
        <x:v>No</x:v>
      </x:c>
      <x:c r="AI670" s="9" t="str">
        <x:v>Easy</x:v>
      </x:c>
      <x:c r="AJ670" s="9" t="str">
        <x:v>86Box/PCem for Windows 95-era titles</x:v>
      </x:c>
      <x:c r="AK670" s="9" t="str"/>
      <x:c r="AL670" s="10" t="n">
        <x:v>5</x:v>
      </x:c>
      <x:c r="AM670" s="10" t="n">
        <x:v>17.16</x:v>
      </x:c>
      <x:c r="AN670" s="10" t="n">
        <x:v>21.77</x:v>
      </x:c>
      <x:c r="AO670" s="9" t="str">
        <x:v>2026-10-24</x:v>
      </x:c>
      <x:c r="AP670" s="11" t="str">
        <x:f>HYPERLINK("https://www.pricecharting.com/game/pc-games/monty-python-and-the-quest-for-the-holy-grail","PriceCharting")</x:f>
        <x:v>PriceCharting</x:v>
      </x:c>
      <x:c r="AQ670" s="9"/>
      <x:c r="AR670" s="9"/>
      <x:c r="AS670" s="9"/>
      <x:c r="AT670" s="9"/>
      <x:c r="AU670" s="9"/>
      <x:c r="AV670" s="9"/>
      <x:c r="AW670" s="9"/>
      <x:c r="AX670" s="9"/>
      <x:c r="AY670" s="9" t="str">
        <x:v>80%</x:v>
      </x:c>
      <x:c r="AZ670" s="9"/>
      <x:c r="BA670" s="11" t="str">
        <x:f>HYPERLINK("https://www.mobygames.com/game/windows/monty-python-the-quest-for-the-holy-grail","MobyGames")</x:f>
        <x:v>MobyGames</x:v>
      </x:c>
      <x:c r="BB670" s="9"/>
      <x:c r="BC670" s="9"/>
      <x:c r="BD670" s="9"/>
      <x:c r="BE670" s="11" t="str">
        <x:f>HYPERLINK("https://en.wikipedia.org/wiki/Monty_Python_%26_the_Quest_for_the_Holy_Grail","Wikipedia")</x:f>
        <x:v>Wikipedia</x:v>
      </x:c>
      <x:c r="BF670" s="11" t="str">
        <x:f>HYPERLINK("https://backloggd.com/search/games/Monty%20Python%20%26%20the%20Quest%20for%20the%20Holy%20Grail/","Backloggd")</x:f>
        <x:v>Backloggd</x:v>
      </x:c>
      <x:c r="BG670" s="9"/>
      <x:c r="BH670" s="9"/>
      <x:c r="BI670" s="12" t="str">
        <x:v>No</x:v>
      </x:c>
      <x:c r="BJ670" s="12" t="str"/>
      <x:c r="BK670" s="12" t="str">
        <x:v>No</x:v>
      </x:c>
      <x:c r="BL670" s="12" t="str"/>
      <x:c r="BM670" s="12" t="str"/>
      <x:c r="BN670" s="12" t="str"/>
      <x:c r="BO670" s="12" t="str"/>
      <x:c r="BP670" s="12" t="str"/>
      <x:c r="BQ670" s="12" t="str"/>
    </x:row>
    <x:row r="671">
      <x:c r="A671" s="9" t="str">
        <x:v>pc-141</x:v>
      </x:c>
      <x:c r="B671" s="9" t="str">
        <x:v>monty-pythons-the-meaning-of-life</x:v>
      </x:c>
      <x:c r="C671" s="9" t="str">
        <x:v>PC</x:v>
      </x:c>
      <x:c r="D671" s="9" t="str">
        <x:v>Monty Python's The Meaning of Life</x:v>
      </x:c>
      <x:c r="E671" s="9" t="str"/>
      <x:c r="F671" s="9" t="str">
        <x:v>7th Level / Panic Productions</x:v>
      </x:c>
      <x:c r="G671" s="9" t="str">
        <x:v>Panasonic Interactive Media</x:v>
      </x:c>
      <x:c r="H671" s="9" t="n">
        <x:v>1997</x:v>
      </x:c>
      <x:c r="I671" s="9" t="str">
        <x:v>Yes</x:v>
      </x:c>
      <x:c r="J671" s="9" t="str">
        <x:v>No</x:v>
      </x:c>
      <x:c r="K671" s="9" t="str">
        <x:v>No</x:v>
      </x:c>
      <x:c r="L671" s="9" t="str">
        <x:v>No</x:v>
      </x:c>
      <x:c r="M671" s="9" t="str">
        <x:v>Comedy adventure</x:v>
      </x:c>
      <x:c r="N671" s="9" t="str">
        <x:v>Live-action + CG</x:v>
      </x:c>
      <x:c r="O671" s="9" t="n">
        <x:v>3</x:v>
      </x:c>
      <x:c r="P671" s="9" t="str">
        <x:v>Cutscenes only</x:v>
      </x:c>
      <x:c r="Q671" s="9" t="str">
        <x:v>Released</x:v>
      </x:c>
      <x:c r="R671" s="9" t="str">
        <x:v>Film license (The Meaning of Life)</x:v>
      </x:c>
      <x:c r="S671" s="9" t="str">
        <x:v>Macintosh</x:v>
      </x:c>
      <x:c r="T671" s="9" t="str">
        <x:v>Monty Python (film clips; verify)</x:v>
      </x:c>
      <x:c r="U671" s="9" t="n">
        <x:v>1</x:v>
      </x:c>
      <x:c r="V671" s="9" t="str">
        <x:v>Yes</x:v>
      </x:c>
      <x:c r="W671" s="9" t="str">
        <x:v>Windows 95, Pentium, 16 MB RAM, CD-ROM (verify)</x:v>
      </x:c>
      <x:c r="X671" s="9" t="str">
        <x:v>HIGH</x:v>
      </x:c>
      <x:c r="Y671" s="9" t="str">
        <x:v>Clips and songs from the 1983 film</x:v>
      </x:c>
      <x:c r="Z671" s="9" t="str">
        <x:v>3–5 hr</x:v>
      </x:c>
      <x:c r="AA671" s="9" t="str">
        <x:v>The third Python CD-ROM, mixing scenes from The Meaning of Life with new Gilliam-style puzzles.</x:v>
      </x:c>
      <x:c r="AB671" s="9" t="str">
        <x:v>None known</x:v>
      </x:c>
      <x:c r="AC671" s="9" t="str">
        <x:v>Film clips in a small window</x:v>
      </x:c>
      <x:c r="AD671" s="9" t="str">
        <x:v>Medium</x:v>
      </x:c>
      <x:c r="AE671" s="9" t="str">
        <x:v>Single ending</x:v>
      </x:c>
      <x:c r="AF671" s="9" t="str">
        <x:v>Final title in 7th Level's Monty Python trilogy.</x:v>
      </x:c>
      <x:c r="AG671" s="9" t="str"/>
      <x:c r="AH671" s="9" t="str">
        <x:v>No</x:v>
      </x:c>
      <x:c r="AI671" s="9" t="str">
        <x:v>Easy</x:v>
      </x:c>
      <x:c r="AJ671" s="9" t="str">
        <x:v>86Box/PCem for Windows 95-era titles</x:v>
      </x:c>
      <x:c r="AK671" s="9" t="str">
        <x:v>Publisher (verify). Not priced: fetch budget ran out.</x:v>
      </x:c>
      <x:c r="AL671" s="10"/>
      <x:c r="AM671" s="10"/>
      <x:c r="AN671" s="10"/>
      <x:c r="AO671" s="9"/>
      <x:c r="AP671" s="11" t="str">
        <x:f>HYPERLINK("https://www.pricecharting.com/search-products?q=Monty+Python%27s+The+Meaning+of+Life+pc+games&amp;type=prices","PriceCharting")</x:f>
        <x:v>PriceCharting</x:v>
      </x:c>
      <x:c r="AQ671" s="9"/>
      <x:c r="AR671" s="9"/>
      <x:c r="AS671" s="9"/>
      <x:c r="AT671" s="9"/>
      <x:c r="AU671" s="9" t="str">
        <x:v>No market</x:v>
      </x:c>
      <x:c r="AV671" s="9" t="str">
        <x:v>Not sold on Steam or GOG (checked 2026-10-25) and no PriceCharting listing.</x:v>
      </x:c>
      <x:c r="AW671" s="9"/>
      <x:c r="AX671" s="9"/>
      <x:c r="AY671" s="9" t="str">
        <x:v>68%</x:v>
      </x:c>
      <x:c r="AZ671" s="9" t="str">
        <x:v>4.0</x:v>
      </x:c>
      <x:c r="BA671" s="11" t="str">
        <x:f>HYPERLINK("https://www.mobygames.com/game/windows/monty-pythons-the-meaning-of-life","MobyGames")</x:f>
        <x:v>MobyGames</x:v>
      </x:c>
      <x:c r="BB671" s="9"/>
      <x:c r="BC671" s="9"/>
      <x:c r="BD671" s="9"/>
      <x:c r="BE671" s="11" t="str">
        <x:f>HYPERLINK("https://en.wikipedia.org/wiki/Monty_Python%27s_The_Meaning_of_Life_(video_game)","Wikipedia")</x:f>
        <x:v>Wikipedia</x:v>
      </x:c>
      <x:c r="BF671" s="11" t="str">
        <x:f>HYPERLINK("https://backloggd.com/search/games/Monty%20Python%27s%20The%20Meaning%20of%20Life/","Backloggd")</x:f>
        <x:v>Backloggd</x:v>
      </x:c>
      <x:c r="BG671" s="9"/>
      <x:c r="BH671" s="9"/>
      <x:c r="BI671" s="12" t="str">
        <x:v>No</x:v>
      </x:c>
      <x:c r="BJ671" s="12" t="str"/>
      <x:c r="BK671" s="12" t="str">
        <x:v>No</x:v>
      </x:c>
      <x:c r="BL671" s="12" t="str"/>
      <x:c r="BM671" s="12" t="str"/>
      <x:c r="BN671" s="12" t="str"/>
      <x:c r="BO671" s="12" t="str"/>
      <x:c r="BP671" s="12" t="str"/>
      <x:c r="BQ671" s="12" t="str"/>
    </x:row>
    <x:row r="672">
      <x:c r="A672" s="9" t="str">
        <x:v>pc-142</x:v>
      </x:c>
      <x:c r="B672" s="9" t="str">
        <x:v>prince-interactive</x:v>
      </x:c>
      <x:c r="C672" s="9" t="str">
        <x:v>PC</x:v>
      </x:c>
      <x:c r="D672" s="9" t="str">
        <x:v>Prince Interactive</x:v>
      </x:c>
      <x:c r="E672" s="9" t="str"/>
      <x:c r="F672" s="9" t="str">
        <x:v>Graphix Zone</x:v>
      </x:c>
      <x:c r="G672" s="9" t="str">
        <x:v>Graphix Zone</x:v>
      </x:c>
      <x:c r="H672" s="9" t="n">
        <x:v>1994</x:v>
      </x:c>
      <x:c r="I672" s="9" t="str">
        <x:v>Yes</x:v>
      </x:c>
      <x:c r="J672" s="9" t="str">
        <x:v>No</x:v>
      </x:c>
      <x:c r="K672" s="9" t="str">
        <x:v>No</x:v>
      </x:c>
      <x:c r="L672" s="9" t="str">
        <x:v>No</x:v>
      </x:c>
      <x:c r="M672" s="9" t="str">
        <x:v>Music puzzle adventure</x:v>
      </x:c>
      <x:c r="N672" s="9" t="str">
        <x:v>Live-action</x:v>
      </x:c>
      <x:c r="O672" s="9" t="n">
        <x:v>4</x:v>
      </x:c>
      <x:c r="P672" s="9" t="str">
        <x:v>FMV adventure</x:v>
      </x:c>
      <x:c r="Q672" s="9" t="str">
        <x:v>Released</x:v>
      </x:c>
      <x:c r="R672" s="9" t="str">
        <x:v>Prince music license</x:v>
      </x:c>
      <x:c r="S672" s="9" t="str">
        <x:v>Macintosh</x:v>
      </x:c>
      <x:c r="T672" s="9" t="str">
        <x:v>Prince (archive concert and music-video footage)</x:v>
      </x:c>
      <x:c r="U672" s="9" t="n">
        <x:v>1</x:v>
      </x:c>
      <x:c r="V672" s="9" t="str">
        <x:v>Unknown — verify</x:v>
      </x:c>
      <x:c r="W672" s="9" t="str">
        <x:v>Windows 3.1, CD-ROM; also Mac</x:v>
      </x:c>
      <x:c r="X672" s="9" t="str">
        <x:v>HIGH</x:v>
      </x:c>
      <x:c r="Y672" s="9" t="str">
        <x:v>Prince songs, videos and concert footage</x:v>
      </x:c>
      <x:c r="Z672" s="9" t="str">
        <x:v>1–2 hr</x:v>
      </x:c>
      <x:c r="AA672" s="9" t="str">
        <x:v>Prince's own 1994 CD-ROM: wander Paisley Park solving puzzles to unlock his music videos and concert clips.</x:v>
      </x:c>
      <x:c r="AB672" s="9" t="str">
        <x:v>None known</x:v>
      </x:c>
      <x:c r="AC672" s="9" t="str">
        <x:v>Small Video for Windows/QuickTime clips</x:v>
      </x:c>
      <x:c r="AD672" s="9" t="str">
        <x:v>Easy</x:v>
      </x:c>
      <x:c r="AE672" s="9" t="str">
        <x:v>Unlock everything</x:v>
      </x:c>
      <x:c r="AF672" s="9" t="str">
        <x:v>Built around Paisley Park studio; includes unreleased material (verify).</x:v>
      </x:c>
      <x:c r="AG672" s="9" t="str"/>
      <x:c r="AH672" s="9" t="str">
        <x:v>No</x:v>
      </x:c>
      <x:c r="AI672" s="9" t="str">
        <x:v>Emulation only</x:v>
      </x:c>
      <x:c r="AJ672" s="9" t="str">
        <x:v>86Box/PCem for Windows 3.1-era titles</x:v>
      </x:c>
      <x:c r="AK672" s="9" t="str">
        <x:v>Borderline music disc; puzzle game wraps the video. CID makes it near-unusable on YouTube.</x:v>
      </x:c>
      <x:c r="AL672" s="10"/>
      <x:c r="AM672" s="10"/>
      <x:c r="AN672" s="10"/>
      <x:c r="AO672" s="9"/>
      <x:c r="AP672" s="11" t="str">
        <x:f>HYPERLINK("https://www.pricecharting.com/search-products?q=Prince+Interactive+pc+games&amp;type=prices","PriceCharting")</x:f>
        <x:v>PriceCharting</x:v>
      </x:c>
      <x:c r="AQ672" s="9"/>
      <x:c r="AR672" s="9"/>
      <x:c r="AS672" s="9"/>
      <x:c r="AT672" s="9"/>
      <x:c r="AU672" s="9" t="str">
        <x:v>No market</x:v>
      </x:c>
      <x:c r="AV672" s="9" t="str">
        <x:v>Not sold on Steam or GOG (checked 2026-10-25) and no PriceCharting listing.</x:v>
      </x:c>
      <x:c r="AW672" s="9"/>
      <x:c r="AX672" s="9"/>
      <x:c r="AY672" s="9"/>
      <x:c r="AZ672" s="9"/>
      <x:c r="BA672" s="11" t="str">
        <x:f>HYPERLINK("https://www.mobygames.com/search/?q=Prince+Interactive","MobyGames")</x:f>
        <x:v>MobyGames</x:v>
      </x:c>
      <x:c r="BB672" s="9"/>
      <x:c r="BC672" s="9"/>
      <x:c r="BD672" s="9"/>
      <x:c r="BE672" s="11" t="str">
        <x:f>HYPERLINK("https://en.wikipedia.org/wiki/Prince_Interactive","Wikipedia")</x:f>
        <x:v>Wikipedia</x:v>
      </x:c>
      <x:c r="BF672" s="11" t="str">
        <x:f>HYPERLINK("https://backloggd.com/search/games/Prince%20Interactive/","Backloggd")</x:f>
        <x:v>Backloggd</x:v>
      </x:c>
      <x:c r="BG672" s="9"/>
      <x:c r="BH672" s="9"/>
      <x:c r="BI672" s="12" t="str">
        <x:v>No</x:v>
      </x:c>
      <x:c r="BJ672" s="12" t="str"/>
      <x:c r="BK672" s="12" t="str">
        <x:v>No</x:v>
      </x:c>
      <x:c r="BL672" s="12" t="str"/>
      <x:c r="BM672" s="12" t="str"/>
      <x:c r="BN672" s="12" t="str"/>
      <x:c r="BO672" s="12" t="str"/>
      <x:c r="BP672" s="12" t="str"/>
      <x:c r="BQ672" s="12" t="str"/>
    </x:row>
    <x:row r="673">
      <x:c r="A673" s="9" t="str">
        <x:v>pc-143</x:v>
      </x:c>
      <x:c r="B673" s="9" t="str">
        <x:v>quest-for-fame</x:v>
      </x:c>
      <x:c r="C673" s="9" t="str">
        <x:v>PC</x:v>
      </x:c>
      <x:c r="D673" s="9" t="str">
        <x:v>Quest for Fame</x:v>
      </x:c>
      <x:c r="E673" s="9" t="str"/>
      <x:c r="F673" s="9" t="str">
        <x:v>Virtual Music Entertainment</x:v>
      </x:c>
      <x:c r="G673" s="9" t="str">
        <x:v>IBM (NA)</x:v>
      </x:c>
      <x:c r="H673" s="9" t="n">
        <x:v>1995</x:v>
      </x:c>
      <x:c r="I673" s="9" t="str">
        <x:v>Yes</x:v>
      </x:c>
      <x:c r="J673" s="9" t="str">
        <x:v>No</x:v>
      </x:c>
      <x:c r="K673" s="9" t="str">
        <x:v>No</x:v>
      </x:c>
      <x:c r="L673" s="9" t="str">
        <x:v>No</x:v>
      </x:c>
      <x:c r="M673" s="9" t="str">
        <x:v>Rhythm / music</x:v>
      </x:c>
      <x:c r="N673" s="9" t="str">
        <x:v>Live-action</x:v>
      </x:c>
      <x:c r="O673" s="9" t="n">
        <x:v>6</x:v>
      </x:c>
      <x:c r="P673" s="9" t="str">
        <x:v>Interactive movie</x:v>
      </x:c>
      <x:c r="Q673" s="9" t="str">
        <x:v>Released</x:v>
      </x:c>
      <x:c r="R673" s="9" t="str">
        <x:v>Aerosmith license</x:v>
      </x:c>
      <x:c r="S673" s="9" t="str"/>
      <x:c r="T673" s="9" t="str">
        <x:v>Aerosmith</x:v>
      </x:c>
      <x:c r="U673" s="9" t="n">
        <x:v>1</x:v>
      </x:c>
      <x:c r="V673" s="9" t="str">
        <x:v>Yes (verify)</x:v>
      </x:c>
      <x:c r="W673" s="9" t="str">
        <x:v>Windows 3.1/95, 486, CD-ROM; V-Pick guitar pick peripheral (included)</x:v>
      </x:c>
      <x:c r="X673" s="9" t="str">
        <x:v>HIGH</x:v>
      </x:c>
      <x:c r="Y673" s="9" t="str">
        <x:v>Aerosmith songs</x:v>
      </x:c>
      <x:c r="Z673" s="9" t="str">
        <x:v>1–2 hr</x:v>
      </x:c>
      <x:c r="AA673" s="9" t="str">
        <x:v>The original guitar game: strum any string with a V-Pick and play your way from a garage to the stage with Aerosmith.</x:v>
      </x:c>
      <x:c r="AB673" s="9" t="str">
        <x:v>None known</x:v>
      </x:c>
      <x:c r="AC673" s="9" t="str">
        <x:v>Live-action video of venues, crowds and band (verify resolution)</x:v>
      </x:c>
      <x:c r="AD673" s="9" t="str">
        <x:v>Easy</x:v>
      </x:c>
      <x:c r="AE673" s="9" t="str">
        <x:v>Join Aerosmith on stage</x:v>
      </x:c>
      <x:c r="AF673" s="9" t="str">
        <x:v>The V-Pick sensed strums on any guitar or tennis racket; Giant Bomb calls it the original guitar game.</x:v>
      </x:c>
      <x:c r="AG673" s="9" t="str"/>
      <x:c r="AH673" s="9" t="str">
        <x:v>No</x:v>
      </x:c>
      <x:c r="AI673" s="9" t="str">
        <x:v>Easy</x:v>
      </x:c>
      <x:c r="AJ673" s="9" t="str">
        <x:v>Original discs in DOSBox</x:v>
      </x:c>
      <x:c r="AK673" s="9" t="str">
        <x:v>Not priced: fetch budget ran out.</x:v>
      </x:c>
      <x:c r="AL673" s="10" t="n">
        <x:v>7.75</x:v>
      </x:c>
      <x:c r="AM673" s="10" t="n">
        <x:v>17.05</x:v>
      </x:c>
      <x:c r="AN673" s="10" t="n">
        <x:v>34.88</x:v>
      </x:c>
      <x:c r="AO673" s="9" t="str">
        <x:v>2026-10-24</x:v>
      </x:c>
      <x:c r="AP673" s="11" t="str">
        <x:f>HYPERLINK("https://www.pricecharting.com/game/pc-games/quest-for-fame","PriceCharting")</x:f>
        <x:v>PriceCharting</x:v>
      </x:c>
      <x:c r="AQ673" s="9"/>
      <x:c r="AR673" s="9"/>
      <x:c r="AS673" s="9"/>
      <x:c r="AT673" s="9"/>
      <x:c r="AU673" s="9"/>
      <x:c r="AV673" s="9"/>
      <x:c r="AW673" s="9"/>
      <x:c r="AX673" s="9"/>
      <x:c r="AY673" s="9"/>
      <x:c r="AZ673" s="9"/>
      <x:c r="BA673" s="11" t="str">
        <x:f>HYPERLINK("https://www.mobygames.com/search/?q=Quest+for+Fame","MobyGames")</x:f>
        <x:v>MobyGames</x:v>
      </x:c>
      <x:c r="BB673" s="9" t="str">
        <x:v>77%</x:v>
      </x:c>
      <x:c r="BC673" s="9" t="str">
        <x:v>average of 5 reviews on Wikipedia (Liverpool Echo, PC Joker, PC Player, PC Team, Power Play)</x:v>
      </x:c>
      <x:c r="BD673" s="9" t="str">
        <x:f>HYPERLINK("https://en.wikipedia.org/wiki/Quest_for_Fame","Source")</x:f>
        <x:v>Source</x:v>
      </x:c>
      <x:c r="BE673" s="11" t="str">
        <x:f>HYPERLINK("https://en.wikipedia.org/wiki/Quest_for_Fame","Wikipedia")</x:f>
        <x:v>Wikipedia</x:v>
      </x:c>
      <x:c r="BF673" s="11" t="str">
        <x:f>HYPERLINK("https://backloggd.com/search/games/Quest%20for%20Fame/","Backloggd")</x:f>
        <x:v>Backloggd</x:v>
      </x:c>
      <x:c r="BG673" s="9"/>
      <x:c r="BH673" s="9"/>
      <x:c r="BI673" s="12" t="str">
        <x:v>No</x:v>
      </x:c>
      <x:c r="BJ673" s="12" t="str"/>
      <x:c r="BK673" s="12" t="str">
        <x:v>No</x:v>
      </x:c>
      <x:c r="BL673" s="12" t="str"/>
      <x:c r="BM673" s="12" t="str"/>
      <x:c r="BN673" s="12" t="str"/>
      <x:c r="BO673" s="12" t="str"/>
      <x:c r="BP673" s="12" t="str"/>
      <x:c r="BQ673" s="12" t="str"/>
    </x:row>
    <x:row r="674">
      <x:c r="A674" s="9" t="str">
        <x:v>pc-144</x:v>
      </x:c>
      <x:c r="B674" s="9" t="str">
        <x:v>devo-presents-adventures-of-the-smart-patrol</x:v>
      </x:c>
      <x:c r="C674" s="9" t="str">
        <x:v>PC</x:v>
      </x:c>
      <x:c r="D674" s="9" t="str">
        <x:v>Devo Presents Adventures of the Smart Patrol</x:v>
      </x:c>
      <x:c r="E674" s="9" t="str"/>
      <x:c r="F674" s="9" t="str">
        <x:v>Inscape</x:v>
      </x:c>
      <x:c r="G674" s="9" t="str">
        <x:v>Inscape</x:v>
      </x:c>
      <x:c r="H674" s="9" t="n">
        <x:v>1996</x:v>
      </x:c>
      <x:c r="I674" s="9" t="str">
        <x:v>Yes</x:v>
      </x:c>
      <x:c r="J674" s="9" t="str">
        <x:v>No</x:v>
      </x:c>
      <x:c r="K674" s="9" t="str">
        <x:v>No</x:v>
      </x:c>
      <x:c r="L674" s="9" t="str">
        <x:v>No</x:v>
      </x:c>
      <x:c r="M674" s="9" t="str">
        <x:v>Adventure</x:v>
      </x:c>
      <x:c r="N674" s="9" t="str">
        <x:v>Live-action + pre-rendered CG</x:v>
      </x:c>
      <x:c r="O674" s="9" t="n">
        <x:v>5</x:v>
      </x:c>
      <x:c r="P674" s="9" t="str">
        <x:v>FMV adventure</x:v>
      </x:c>
      <x:c r="Q674" s="9" t="str">
        <x:v>Released</x:v>
      </x:c>
      <x:c r="R674" s="9" t="str">
        <x:v>Devo license / original production</x:v>
      </x:c>
      <x:c r="S674" s="9" t="str">
        <x:v>Macintosh</x:v>
      </x:c>
      <x:c r="T674" s="9" t="str">
        <x:v>Devo (Mark Mothersbaugh, Gerald Casale and band)</x:v>
      </x:c>
      <x:c r="U674" s="9" t="n">
        <x:v>1</x:v>
      </x:c>
      <x:c r="V674" s="9" t="str">
        <x:v>Yes</x:v>
      </x:c>
      <x:c r="W674" s="9" t="str">
        <x:v>Windows 95/3.1, 486, CD-ROM (verify); also Mac</x:v>
      </x:c>
      <x:c r="X674" s="9" t="str">
        <x:v>Med–High</x:v>
      </x:c>
      <x:c r="Y674" s="9" t="str">
        <x:v>Devo songs</x:v>
      </x:c>
      <x:c r="Z674" s="9" t="str">
        <x:v>4–6 hr</x:v>
      </x:c>
      <x:c r="AA674" s="9" t="str">
        <x:v>Devo's own adventure game, with the band in live-action cutscenes and a new soundtrack in a de-evolved future.</x:v>
      </x:c>
      <x:c r="AB674" s="9" t="str">
        <x:v>None known</x:v>
      </x:c>
      <x:c r="AC674" s="9" t="str">
        <x:v>Live-action band footage and pre-rendered CG</x:v>
      </x:c>
      <x:c r="AD674" s="9" t="str">
        <x:v>Hard; obtuse puzzles</x:v>
      </x:c>
      <x:c r="AE674" s="9" t="str">
        <x:v>Single ending</x:v>
      </x:c>
      <x:c r="AF674" s="9" t="str">
        <x:v>The band recorded new music for it; Inscape was co-founded by Bob Stein's group (verify).</x:v>
      </x:c>
      <x:c r="AG674" s="9" t="str"/>
      <x:c r="AH674" s="9" t="str">
        <x:v>No</x:v>
      </x:c>
      <x:c r="AI674" s="9" t="str">
        <x:v>Easy</x:v>
      </x:c>
      <x:c r="AJ674" s="9" t="str">
        <x:v>Original discs in DOSBox</x:v>
      </x:c>
      <x:c r="AK674" s="9" t="str">
        <x:v>Not priced: fetch budget ran out.</x:v>
      </x:c>
      <x:c r="AL674" s="10"/>
      <x:c r="AM674" s="10"/>
      <x:c r="AN674" s="10"/>
      <x:c r="AO674" s="9"/>
      <x:c r="AP674" s="11" t="str">
        <x:f>HYPERLINK("https://www.pricecharting.com/search-products?q=Devo+Presents+Adventures+of+the+Smart+Patrol+pc+games&amp;type=prices","PriceCharting")</x:f>
        <x:v>PriceCharting</x:v>
      </x:c>
      <x:c r="AQ674" s="9"/>
      <x:c r="AR674" s="9"/>
      <x:c r="AS674" s="9"/>
      <x:c r="AT674" s="9"/>
      <x:c r="AU674" s="9" t="str">
        <x:v>No market</x:v>
      </x:c>
      <x:c r="AV674" s="9" t="str">
        <x:v>Not sold on Steam or GOG (checked 2026-10-25) and no PriceCharting listing.</x:v>
      </x:c>
      <x:c r="AW674" s="9"/>
      <x:c r="AX674" s="9"/>
      <x:c r="AY674" s="9"/>
      <x:c r="AZ674" s="9"/>
      <x:c r="BA674" s="11" t="str">
        <x:f>HYPERLINK("https://www.mobygames.com/game/4760","MobyGames")</x:f>
        <x:v>MobyGames</x:v>
      </x:c>
      <x:c r="BB674" s="9" t="str">
        <x:v>28%</x:v>
      </x:c>
      <x:c r="BC674" s="9" t="str">
        <x:v>GameRankings, 1 review</x:v>
      </x:c>
      <x:c r="BD674" s="9" t="str">
        <x:f>HYPERLINK("https://web.archive.org/web/20191209012418id_/https://www.gamerankings.com/pc/197109-devo-presents-adventures-of-the-smart-patrol/","Source")</x:f>
        <x:v>Source</x:v>
      </x:c>
      <x:c r="BE674" s="11" t="str">
        <x:f>HYPERLINK("https://en.wikipedia.org/wiki/Devo_Presents_Adventures_of_the_Smart_Patrol_(video_game)","Wikipedia")</x:f>
        <x:v>Wikipedia</x:v>
      </x:c>
      <x:c r="BF674" s="11" t="str">
        <x:f>HYPERLINK("https://backloggd.com/search/games/Devo%20Presents%20Adventures%20of%20the%20Smart%20Patrol/","Backloggd")</x:f>
        <x:v>Backloggd</x:v>
      </x:c>
      <x:c r="BG674" s="9"/>
      <x:c r="BH674" s="9"/>
      <x:c r="BI674" s="12" t="str">
        <x:v>No</x:v>
      </x:c>
      <x:c r="BJ674" s="12" t="str"/>
      <x:c r="BK674" s="12" t="str">
        <x:v>No</x:v>
      </x:c>
      <x:c r="BL674" s="12" t="str"/>
      <x:c r="BM674" s="12" t="str"/>
      <x:c r="BN674" s="12" t="str"/>
      <x:c r="BO674" s="12" t="str"/>
      <x:c r="BP674" s="12" t="str"/>
      <x:c r="BQ674" s="12" t="str"/>
    </x:row>
    <x:row r="675">
      <x:c r="A675" s="9" t="str">
        <x:v>pc-145</x:v>
      </x:c>
      <x:c r="B675" s="9" t="str">
        <x:v>congo-the-movie-descent-into-zinj</x:v>
      </x:c>
      <x:c r="C675" s="9" t="str">
        <x:v>PC</x:v>
      </x:c>
      <x:c r="D675" s="9" t="str">
        <x:v>Congo the Movie: Descent into Zinj</x:v>
      </x:c>
      <x:c r="E675" s="9" t="str">
        <x:v>Congo: The Movie - Descent into Zinj</x:v>
      </x:c>
      <x:c r="F675" s="9" t="str">
        <x:v>Viacom New Media</x:v>
      </x:c>
      <x:c r="G675" s="9" t="str">
        <x:v>Viacom New Media</x:v>
      </x:c>
      <x:c r="H675" s="9" t="n">
        <x:v>1995</x:v>
      </x:c>
      <x:c r="I675" s="9" t="str">
        <x:v>Yes</x:v>
      </x:c>
      <x:c r="J675" s="9" t="str">
        <x:v>No</x:v>
      </x:c>
      <x:c r="K675" s="9" t="str">
        <x:v>No</x:v>
      </x:c>
      <x:c r="L675" s="9" t="str">
        <x:v>No</x:v>
      </x:c>
      <x:c r="M675" s="9" t="str">
        <x:v>Adventure</x:v>
      </x:c>
      <x:c r="N675" s="9" t="str">
        <x:v>Live-action + pre-rendered CG</x:v>
      </x:c>
      <x:c r="O675" s="9" t="n">
        <x:v>4</x:v>
      </x:c>
      <x:c r="P675" s="9" t="str">
        <x:v>FMV adventure</x:v>
      </x:c>
      <x:c r="Q675" s="9" t="str">
        <x:v>Released</x:v>
      </x:c>
      <x:c r="R675" s="9" t="str">
        <x:v>Film license (Congo, 1995)</x:v>
      </x:c>
      <x:c r="S675" s="9" t="str"/>
      <x:c r="T675" s="9" t="str">
        <x:v>Clips from the film (verify)</x:v>
      </x:c>
      <x:c r="U675" s="9" t="n">
        <x:v>1</x:v>
      </x:c>
      <x:c r="V675" s="9" t="str">
        <x:v>Yes</x:v>
      </x:c>
      <x:c r="W675" s="9" t="str">
        <x:v>Windows 3.1/95, CD-ROM</x:v>
      </x:c>
      <x:c r="X675" s="9" t="str">
        <x:v>Med–High</x:v>
      </x:c>
      <x:c r="Y675" s="9" t="str">
        <x:v>Paramount film footage</x:v>
      </x:c>
      <x:c r="Z675" s="9" t="str">
        <x:v>3–5 hr</x:v>
      </x:c>
      <x:c r="AA675" s="9" t="str">
        <x:v>The PC tie-in to Congo: a puzzle adventure through Zinj built around clips from the killer-gorilla movie.</x:v>
      </x:c>
      <x:c r="AB675" s="9" t="str">
        <x:v>None known</x:v>
      </x:c>
      <x:c r="AC675" s="9" t="str">
        <x:v>Pre-rendered environments with film clips (verify)</x:v>
      </x:c>
      <x:c r="AD675" s="9" t="str">
        <x:v>Medium</x:v>
      </x:c>
      <x:c r="AE675" s="9" t="str">
        <x:v>Single ending</x:v>
      </x:c>
      <x:c r="AF675" s="9" t="str">
        <x:v>A different product from the Saturn Congo game (Jumpin' Jack Software's first-person shooter).</x:v>
      </x:c>
      <x:c r="AG675" s="9" t="str"/>
      <x:c r="AH675" s="9" t="str">
        <x:v>No</x:v>
      </x:c>
      <x:c r="AI675" s="9" t="str">
        <x:v>Easy</x:v>
      </x:c>
      <x:c r="AJ675" s="9" t="str">
        <x:v>86Box/PCem for Windows 3.1/95-era titles</x:v>
      </x:c>
      <x:c r="AK675" s="9" t="str">
        <x:v>gameId copied from gameid_hints.json, but MobyGames lists Descent into Zinj (PC) and The Lost City of Zinj (Saturn) as separate games; consider 'congo-the-movie-descent-into-zinj'.</x:v>
      </x:c>
      <x:c r="AL675" s="10" t="n">
        <x:v>4</x:v>
      </x:c>
      <x:c r="AM675" s="10" t="n">
        <x:v>9.5</x:v>
      </x:c>
      <x:c r="AN675" s="10" t="n">
        <x:v>19</x:v>
      </x:c>
      <x:c r="AO675" s="9" t="str">
        <x:v>2026-10-24</x:v>
      </x:c>
      <x:c r="AP675" s="11" t="str">
        <x:f>HYPERLINK("https://www.pricecharting.com/game/pc-games/congo-the-movie-descent-into-zinj","PriceCharting")</x:f>
        <x:v>PriceCharting</x:v>
      </x:c>
      <x:c r="AQ675" s="9"/>
      <x:c r="AR675" s="9"/>
      <x:c r="AS675" s="9"/>
      <x:c r="AT675" s="9"/>
      <x:c r="AU675" s="9"/>
      <x:c r="AV675" s="9"/>
      <x:c r="AW675" s="9"/>
      <x:c r="AX675" s="9"/>
      <x:c r="AY675" s="9"/>
      <x:c r="AZ675" s="9" t="str">
        <x:v>3.0</x:v>
      </x:c>
      <x:c r="BA675" s="11" t="str">
        <x:f>HYPERLINK("https://www.mobygames.com/game/windows/congo-the-movie-descent-into-zinj","MobyGames")</x:f>
        <x:v>MobyGames</x:v>
      </x:c>
      <x:c r="BB675" s="9"/>
      <x:c r="BC675" s="9"/>
      <x:c r="BD675" s="9"/>
      <x:c r="BE675" s="9"/>
      <x:c r="BF675" s="11" t="str">
        <x:f>HYPERLINK("https://backloggd.com/search/games/Congo%20the%20Movie%3A%20Descent%20into%20Zinj/","Backloggd")</x:f>
        <x:v>Backloggd</x:v>
      </x:c>
      <x:c r="BG675" s="9"/>
      <x:c r="BH675" s="9"/>
      <x:c r="BI675" s="12" t="str">
        <x:v>No</x:v>
      </x:c>
      <x:c r="BJ675" s="12" t="str"/>
      <x:c r="BK675" s="12" t="str">
        <x:v>No</x:v>
      </x:c>
      <x:c r="BL675" s="12" t="str"/>
      <x:c r="BM675" s="12" t="str"/>
      <x:c r="BN675" s="12" t="str"/>
      <x:c r="BO675" s="12" t="str"/>
      <x:c r="BP675" s="12" t="str"/>
      <x:c r="BQ675" s="12" t="str"/>
    </x:row>
    <x:row r="676">
      <x:c r="A676" s="9" t="str">
        <x:v>pc-146</x:v>
      </x:c>
      <x:c r="B676" s="9" t="str">
        <x:v>riana-rouge</x:v>
      </x:c>
      <x:c r="C676" s="9" t="str">
        <x:v>PC</x:v>
      </x:c>
      <x:c r="D676" s="9" t="str">
        <x:v>Riana Rouge</x:v>
      </x:c>
      <x:c r="E676" s="9" t="str"/>
      <x:c r="F676" s="9" t="str">
        <x:v>Black Dragon Productions</x:v>
      </x:c>
      <x:c r="G676" s="9" t="str">
        <x:v>Black Dragon</x:v>
      </x:c>
      <x:c r="H676" s="9" t="n">
        <x:v>1997</x:v>
      </x:c>
      <x:c r="I676" s="9" t="str">
        <x:v>Yes</x:v>
      </x:c>
      <x:c r="J676" s="9" t="str">
        <x:v>No</x:v>
      </x:c>
      <x:c r="K676" s="9" t="str">
        <x:v>No</x:v>
      </x:c>
      <x:c r="L676" s="9" t="str">
        <x:v>No</x:v>
      </x:c>
      <x:c r="M676" s="9" t="str">
        <x:v>FMV adventure (softcore)</x:v>
      </x:c>
      <x:c r="N676" s="9" t="str">
        <x:v>Live-action + CG</x:v>
      </x:c>
      <x:c r="O676" s="9" t="n">
        <x:v>8</x:v>
      </x:c>
      <x:c r="P676" s="9" t="str">
        <x:v>Interactive movie</x:v>
      </x:c>
      <x:c r="Q676" s="9" t="str">
        <x:v>Released</x:v>
      </x:c>
      <x:c r="R676" s="9" t="str">
        <x:v>Original production</x:v>
      </x:c>
      <x:c r="S676" s="9" t="str"/>
      <x:c r="T676" s="9" t="str">
        <x:v>Gillian Bonner (Riana)</x:v>
      </x:c>
      <x:c r="U676" s="9" t="n">
        <x:v>2</x:v>
      </x:c>
      <x:c r="V676" s="9" t="str">
        <x:v>Yes (verify)</x:v>
      </x:c>
      <x:c r="W676" s="9" t="str">
        <x:v>Windows 95, Pentium, CD-ROM (verify)</x:v>
      </x:c>
      <x:c r="X676" s="9" t="str">
        <x:v>Low</x:v>
      </x:c>
      <x:c r="Y676" s="9" t="str"/>
      <x:c r="Z676" s="9" t="str">
        <x:v>1–2 hr</x:v>
      </x:c>
      <x:c r="AA676" s="9" t="str">
        <x:v>A notorious 'sexy' FMV mess where a secretary is pulled into a fantasy world of bluescreen sets and Playboy models.</x:v>
      </x:c>
      <x:c r="AB676" s="9" t="str">
        <x:v>None known</x:v>
      </x:c>
      <x:c r="AC676" s="9" t="str">
        <x:v>Live-action actors on bluescreen CG sets</x:v>
      </x:c>
      <x:c r="AD676" s="9" t="str">
        <x:v>Easy</x:v>
      </x:c>
      <x:c r="AE676" s="9" t="str">
        <x:v>Single ending (verify)</x:v>
      </x:c>
      <x:c r="AF676" s="9" t="str">
        <x:v>PC Gamer's Saturday Crapshoot called it a sexy FMV mess.</x:v>
      </x:c>
      <x:c r="AG676" s="9" t="str"/>
      <x:c r="AH676" s="9" t="str">
        <x:v>No</x:v>
      </x:c>
      <x:c r="AI676" s="9" t="str">
        <x:v>Expensive</x:v>
      </x:c>
      <x:c r="AJ676" s="9" t="str">
        <x:v>86Box/PCem for Windows 95-era titles</x:v>
      </x:c>
      <x:c r="AK676" s="9" t="str">
        <x:v>Nudity; a game rather than an adult video disc, but flag for review. Lead actress not confirmed.</x:v>
      </x:c>
      <x:c r="AL676" s="10" t="n">
        <x:v>76.54</x:v>
      </x:c>
      <x:c r="AM676" s="10" t="n">
        <x:v>172.49</x:v>
      </x:c>
      <x:c r="AN676" s="10" t="n">
        <x:v>345</x:v>
      </x:c>
      <x:c r="AO676" s="9" t="str">
        <x:v>2026-10-24</x:v>
      </x:c>
      <x:c r="AP676" s="11" t="str">
        <x:f>HYPERLINK("https://www.pricecharting.com/game/pc-games/riana-rouge","PriceCharting")</x:f>
        <x:v>PriceCharting</x:v>
      </x:c>
      <x:c r="AQ676" s="9"/>
      <x:c r="AR676" s="9"/>
      <x:c r="AS676" s="9"/>
      <x:c r="AT676" s="9"/>
      <x:c r="AU676" s="9"/>
      <x:c r="AV676" s="9"/>
      <x:c r="AW676" s="9"/>
      <x:c r="AX676" s="9"/>
      <x:c r="AY676" s="9"/>
      <x:c r="AZ676" s="9" t="str">
        <x:v>2.7</x:v>
      </x:c>
      <x:c r="BA676" s="11" t="str">
        <x:f>HYPERLINK("https://www.mobygames.com/game/windows/riana-rouge","MobyGames")</x:f>
        <x:v>MobyGames</x:v>
      </x:c>
      <x:c r="BB676" s="9"/>
      <x:c r="BC676" s="9"/>
      <x:c r="BD676" s="9"/>
      <x:c r="BE676" s="11" t="str">
        <x:f>HYPERLINK("https://en.wikipedia.org/wiki/Riana_Rouge","Wikipedia")</x:f>
        <x:v>Wikipedia</x:v>
      </x:c>
      <x:c r="BF676" s="11" t="str">
        <x:f>HYPERLINK("https://backloggd.com/search/games/Riana%20Rouge/","Backloggd")</x:f>
        <x:v>Backloggd</x:v>
      </x:c>
      <x:c r="BG676" s="9"/>
      <x:c r="BH676" s="9"/>
      <x:c r="BI676" s="12" t="str">
        <x:v>No</x:v>
      </x:c>
      <x:c r="BJ676" s="12" t="str"/>
      <x:c r="BK676" s="12" t="str">
        <x:v>No</x:v>
      </x:c>
      <x:c r="BL676" s="12" t="str"/>
      <x:c r="BM676" s="12" t="str"/>
      <x:c r="BN676" s="12" t="str"/>
      <x:c r="BO676" s="12" t="str"/>
      <x:c r="BP676" s="12" t="str"/>
      <x:c r="BQ676" s="12" t="str"/>
    </x:row>
    <x:row r="677">
      <x:c r="A677" s="9" t="str">
        <x:v>pc-147</x:v>
      </x:c>
      <x:c r="B677" s="9" t="str">
        <x:v>blue-heat-the-case-of-the-cover-girl-murders</x:v>
      </x:c>
      <x:c r="C677" s="9" t="str">
        <x:v>PC</x:v>
      </x:c>
      <x:c r="D677" s="9" t="str">
        <x:v>Blue Heat: The Case of the Cover Girl Murders</x:v>
      </x:c>
      <x:c r="E677" s="9" t="str"/>
      <x:c r="F677" s="9" t="str">
        <x:v>Cyberdreams</x:v>
      </x:c>
      <x:c r="G677" s="9" t="str">
        <x:v>Cyberdreams</x:v>
      </x:c>
      <x:c r="H677" s="9" t="n">
        <x:v>1997</x:v>
      </x:c>
      <x:c r="I677" s="9" t="str">
        <x:v>Yes</x:v>
      </x:c>
      <x:c r="J677" s="9" t="str">
        <x:v>No</x:v>
      </x:c>
      <x:c r="K677" s="9" t="str">
        <x:v>No</x:v>
      </x:c>
      <x:c r="L677" s="9" t="str">
        <x:v>No</x:v>
      </x:c>
      <x:c r="M677" s="9" t="str">
        <x:v>Erotic mystery</x:v>
      </x:c>
      <x:c r="N677" s="9" t="str">
        <x:v>Live-action</x:v>
      </x:c>
      <x:c r="O677" s="9" t="n">
        <x:v>8</x:v>
      </x:c>
      <x:c r="P677" s="9" t="str">
        <x:v>Interactive movie</x:v>
      </x:c>
      <x:c r="Q677" s="9" t="str">
        <x:v>Released</x:v>
      </x:c>
      <x:c r="R677" s="9" t="str">
        <x:v>Original production</x:v>
      </x:c>
      <x:c r="S677" s="9" t="str"/>
      <x:c r="T677" s="9" t="str">
        <x:v>Unknown — verify</x:v>
      </x:c>
      <x:c r="U677" s="9" t="n">
        <x:v>2</x:v>
      </x:c>
      <x:c r="V677" s="9" t="str">
        <x:v>Yes (verify)</x:v>
      </x:c>
      <x:c r="W677" s="9" t="str">
        <x:v>Windows 95, Pentium, CD-ROM (verify)</x:v>
      </x:c>
      <x:c r="X677" s="9" t="str">
        <x:v>Low</x:v>
      </x:c>
      <x:c r="Y677" s="9" t="str"/>
      <x:c r="Z677" s="9" t="str">
        <x:v>2–4 hr</x:v>
      </x:c>
      <x:c r="AA677" s="9" t="str">
        <x:v>Cyberdreams' last game: an undercover LAPD detective hunts a killer of swimsuit models in a softcore live-action thriller.</x:v>
      </x:c>
      <x:c r="AB677" s="9" t="str">
        <x:v>None known</x:v>
      </x:c>
      <x:c r="AC677" s="9" t="str">
        <x:v>Live-action video (verify)</x:v>
      </x:c>
      <x:c r="AD677" s="9" t="str">
        <x:v>Medium</x:v>
      </x:c>
      <x:c r="AE677" s="9" t="str">
        <x:v>Unknown — verify</x:v>
      </x:c>
      <x:c r="AF677" s="9" t="str">
        <x:v>Cyberdreams closed in 1997, the year it shipped.</x:v>
      </x:c>
      <x:c r="AG677" s="9" t="str"/>
      <x:c r="AH677" s="9" t="str">
        <x:v>No</x:v>
      </x:c>
      <x:c r="AI677" s="9" t="str">
        <x:v>Easy</x:v>
      </x:c>
      <x:c r="AJ677" s="9" t="str">
        <x:v>86Box/PCem for Windows 95-era titles</x:v>
      </x:c>
      <x:c r="AK677" s="9" t="str">
        <x:v>Nudity; game not adult video disc, flag for review. Not priced: fetch budget ran out.</x:v>
      </x:c>
      <x:c r="AL677" s="10"/>
      <x:c r="AM677" s="10"/>
      <x:c r="AN677" s="10"/>
      <x:c r="AO677" s="9"/>
      <x:c r="AP677" s="11" t="str">
        <x:f>HYPERLINK("https://www.pricecharting.com/search-products?q=Blue+Heat%3A+The+Case+of+the+Cover+Girl+Murders+pc+games&amp;type=prices","PriceCharting")</x:f>
        <x:v>PriceCharting</x:v>
      </x:c>
      <x:c r="AQ677" s="9"/>
      <x:c r="AR677" s="9"/>
      <x:c r="AS677" s="9"/>
      <x:c r="AT677" s="9"/>
      <x:c r="AU677" s="9" t="str">
        <x:v>No market</x:v>
      </x:c>
      <x:c r="AV677" s="9" t="str">
        <x:v>Not sold on Steam or GOG (checked 2026-10-25) and no PriceCharting listing.</x:v>
      </x:c>
      <x:c r="AW677" s="9"/>
      <x:c r="AX677" s="9"/>
      <x:c r="AY677" s="9"/>
      <x:c r="AZ677" s="9" t="str">
        <x:v>2.7</x:v>
      </x:c>
      <x:c r="BA677" s="11" t="str">
        <x:f>HYPERLINK("https://www.mobygames.com/game/windows/blue-heat-the-case-of-the-cover-girl-murders","MobyGames")</x:f>
        <x:v>MobyGames</x:v>
      </x:c>
      <x:c r="BB677" s="9"/>
      <x:c r="BC677" s="9"/>
      <x:c r="BD677" s="9"/>
      <x:c r="BE677" s="11" t="str">
        <x:f>HYPERLINK("https://en.wikipedia.org/wiki/Blue_Heat:_The_Case_of_the_Cover_Girl_Murders","Wikipedia")</x:f>
        <x:v>Wikipedia</x:v>
      </x:c>
      <x:c r="BF677" s="11" t="str">
        <x:f>HYPERLINK("https://backloggd.com/search/games/Blue%20Heat%3A%20The%20Case%20of%20the%20Cover%20Girl%20Murders/","Backloggd")</x:f>
        <x:v>Backloggd</x:v>
      </x:c>
      <x:c r="BG677" s="9"/>
      <x:c r="BH677" s="9"/>
      <x:c r="BI677" s="12" t="str">
        <x:v>No</x:v>
      </x:c>
      <x:c r="BJ677" s="12" t="str"/>
      <x:c r="BK677" s="12" t="str">
        <x:v>No</x:v>
      </x:c>
      <x:c r="BL677" s="12" t="str"/>
      <x:c r="BM677" s="12" t="str"/>
      <x:c r="BN677" s="12" t="str"/>
      <x:c r="BO677" s="12" t="str"/>
      <x:c r="BP677" s="12" t="str"/>
      <x:c r="BQ677" s="12" t="str"/>
    </x:row>
    <x:row r="678">
      <x:c r="A678" s="9" t="str">
        <x:v>pc-148</x:v>
      </x:c>
      <x:c r="B678" s="9" t="str">
        <x:v>police-quest-swat</x:v>
      </x:c>
      <x:c r="C678" s="9" t="str">
        <x:v>PC</x:v>
      </x:c>
      <x:c r="D678" s="9" t="str">
        <x:v>Police Quest: SWAT</x:v>
      </x:c>
      <x:c r="E678" s="9" t="str">
        <x:v>Daryl F. Gates' Police Quest: SWAT</x:v>
      </x:c>
      <x:c r="F678" s="9" t="str">
        <x:v>Sierra On-Line</x:v>
      </x:c>
      <x:c r="G678" s="9" t="str">
        <x:v>Sierra On-Line</x:v>
      </x:c>
      <x:c r="H678" s="9" t="n">
        <x:v>1995</x:v>
      </x:c>
      <x:c r="I678" s="9" t="str">
        <x:v>Yes</x:v>
      </x:c>
      <x:c r="J678" s="9" t="str">
        <x:v>No</x:v>
      </x:c>
      <x:c r="K678" s="9" t="str">
        <x:v>No</x:v>
      </x:c>
      <x:c r="L678" s="9" t="str">
        <x:v>No</x:v>
      </x:c>
      <x:c r="M678" s="9" t="str">
        <x:v>Police sim / interactive movie</x:v>
      </x:c>
      <x:c r="N678" s="9" t="str">
        <x:v>Live-action</x:v>
      </x:c>
      <x:c r="O678" s="9" t="n">
        <x:v>8</x:v>
      </x:c>
      <x:c r="P678" s="9" t="str">
        <x:v>Interactive movie</x:v>
      </x:c>
      <x:c r="Q678" s="9" t="str">
        <x:v>Released</x:v>
      </x:c>
      <x:c r="R678" s="9" t="str">
        <x:v>PC original (Police Quest series)</x:v>
      </x:c>
      <x:c r="S678" s="9" t="str"/>
      <x:c r="T678" s="9" t="str">
        <x:v>Daryl F. Gates, real LAPD SWAT officers (verify)</x:v>
      </x:c>
      <x:c r="U678" s="9" t="n">
        <x:v>4</x:v>
      </x:c>
      <x:c r="V678" s="9" t="str">
        <x:v>Yes</x:v>
      </x:c>
      <x:c r="W678" s="9" t="str">
        <x:v>DOS/Windows 3.1/95, 486, 8 MB RAM, 2x CD-ROM, SVGA</x:v>
      </x:c>
      <x:c r="X678" s="9" t="str">
        <x:v>Low</x:v>
      </x:c>
      <x:c r="Y678" s="9" t="str"/>
      <x:c r="Z678" s="9" t="str">
        <x:v>3–5 hr</x:v>
      </x:c>
      <x:c r="AA678" s="9" t="str">
        <x:v>Sierra's live-action SWAT training sim: one wrong move with your gun or your mouth ends the mission.</x:v>
      </x:c>
      <x:c r="AB678" s="9" t="str">
        <x:v>None known</x:v>
      </x:c>
      <x:c r="AC678" s="9" t="str">
        <x:v>Live-action video in a small window (verify)</x:v>
      </x:c>
      <x:c r="AD678" s="9" t="str">
        <x:v>Hard; unforgiving procedure</x:v>
      </x:c>
      <x:c r="AE678" s="9" t="str">
        <x:v>Pass or fail each call-out</x:v>
      </x:c>
      <x:c r="AF678" s="9" t="str">
        <x:v>Directed with real LAPD SWAT input; led to the SWAT tactical series.</x:v>
      </x:c>
      <x:c r="AG678" s="9" t="str">
        <x:v>Also in Police Quest Collection and SWAT 1+2</x:v>
      </x:c>
      <x:c r="AH678" s="9" t="str">
        <x:v>Yes (GOG: Police Quest: SWAT 1+2)</x:v>
      </x:c>
      <x:c r="AI678" s="9" t="str">
        <x:v>Easy</x:v>
      </x:c>
      <x:c r="AJ678" s="9" t="str">
        <x:v>GOG (DOSBox bundled); original discs in DOSBox</x:v>
      </x:c>
      <x:c r="AK678" s="9" t="str">
        <x:v>Disc count 4 (verify).</x:v>
      </x:c>
      <x:c r="AL678" s="10" t="n">
        <x:v>4.41</x:v>
      </x:c>
      <x:c r="AM678" s="10" t="n">
        <x:v>15.53</x:v>
      </x:c>
      <x:c r="AN678" s="10" t="n">
        <x:v>25</x:v>
      </x:c>
      <x:c r="AO678" s="9" t="str">
        <x:v>2026-10-24</x:v>
      </x:c>
      <x:c r="AP678" s="11" t="str">
        <x:f>HYPERLINK("https://www.pricecharting.com/game/pc-games/police-quest-swat","PriceCharting")</x:f>
        <x:v>PriceCharting</x:v>
      </x:c>
      <x:c r="AQ678" s="9" t="n">
        <x:v>5.99</x:v>
      </x:c>
      <x:c r="AR678" s="11" t="str">
        <x:v>Steam</x:v>
      </x:c>
      <x:c r="AS678" s="9" t="str">
        <x:f>HYPERLINK("https://store.steampowered.com/app/560350/","Store")</x:f>
        <x:v>Store</x:v>
      </x:c>
      <x:c r="AT678" s="9" t="str">
        <x:v>2026-10-24</x:v>
      </x:c>
      <x:c r="AU678" s="9"/>
      <x:c r="AV678" s="9"/>
      <x:c r="AW678" s="9"/>
      <x:c r="AX678" s="9"/>
      <x:c r="AY678" s="9"/>
      <x:c r="AZ678" s="9"/>
      <x:c r="BA678" s="11" t="str">
        <x:f>HYPERLINK("https://www.mobygames.com/game/150/daryl-f-gates-police-quest-swat/","MobyGames")</x:f>
        <x:v>MobyGames</x:v>
      </x:c>
      <x:c r="BB678" s="9" t="str">
        <x:v>64%</x:v>
      </x:c>
      <x:c r="BC678" s="9" t="str">
        <x:v>average of 3 reviews on Wikipedia (NGen, PCGUS, PCZone)</x:v>
      </x:c>
      <x:c r="BD678" s="9" t="str">
        <x:f>HYPERLINK("https://en.wikipedia.org/wiki/Police_Quest%3A_SWAT","Source")</x:f>
        <x:v>Source</x:v>
      </x:c>
      <x:c r="BE678" s="11" t="str">
        <x:f>HYPERLINK("https://en.wikipedia.org/wiki/Police_Quest:_SWAT","Wikipedia")</x:f>
        <x:v>Wikipedia</x:v>
      </x:c>
      <x:c r="BF678" s="11" t="str">
        <x:f>HYPERLINK("https://backloggd.com/search/games/Police%20Quest%3A%20SWAT/","Backloggd")</x:f>
        <x:v>Backloggd</x:v>
      </x:c>
      <x:c r="BG678" s="9"/>
      <x:c r="BH678" s="9"/>
      <x:c r="BI678" s="12" t="str">
        <x:v>No</x:v>
      </x:c>
      <x:c r="BJ678" s="12" t="str"/>
      <x:c r="BK678" s="12" t="str">
        <x:v>No</x:v>
      </x:c>
      <x:c r="BL678" s="12" t="str"/>
      <x:c r="BM678" s="12" t="str"/>
      <x:c r="BN678" s="12" t="str"/>
      <x:c r="BO678" s="12" t="str"/>
      <x:c r="BP678" s="12" t="str"/>
      <x:c r="BQ678" s="12" t="str"/>
    </x:row>
    <x:row r="679">
      <x:c r="A679" s="9" t="str">
        <x:v>pc-149</x:v>
      </x:c>
      <x:c r="B679" s="9" t="str">
        <x:v>sakura-wars</x:v>
      </x:c>
      <x:c r="C679" s="9" t="str">
        <x:v>PC</x:v>
      </x:c>
      <x:c r="D679" s="9" t="str">
        <x:v>Sakura Wars</x:v>
      </x:c>
      <x:c r="E679" s="9" t="str">
        <x:v>Sakura Taisen</x:v>
      </x:c>
      <x:c r="F679" s="9" t="str">
        <x:v>Sega / Red Company</x:v>
      </x:c>
      <x:c r="G679" s="9" t="str">
        <x:v>Sega (JP)</x:v>
      </x:c>
      <x:c r="H679" s="9" t="n">
        <x:v>1997</x:v>
      </x:c>
      <x:c r="I679" s="9" t="str">
        <x:v>No</x:v>
      </x:c>
      <x:c r="J679" s="9" t="str">
        <x:v>Yes</x:v>
      </x:c>
      <x:c r="K679" s="9" t="str">
        <x:v>No</x:v>
      </x:c>
      <x:c r="L679" s="9" t="str">
        <x:v>No</x:v>
      </x:c>
      <x:c r="M679" s="9" t="str">
        <x:v>Dating sim / tactical RPG</x:v>
      </x:c>
      <x:c r="N679" s="9" t="str">
        <x:v>Animated</x:v>
      </x:c>
      <x:c r="O679" s="9" t="n">
        <x:v>3</x:v>
      </x:c>
      <x:c r="P679" s="9" t="str">
        <x:v>Cutscenes only</x:v>
      </x:c>
      <x:c r="Q679" s="9" t="str">
        <x:v>Released</x:v>
      </x:c>
      <x:c r="R679" s="9" t="str">
        <x:v>Port of Saturn original</x:v>
      </x:c>
      <x:c r="S679" s="9" t="str">
        <x:v>Saturn, Dreamcast, PS2 (remake)</x:v>
      </x:c>
      <x:c r="T679" s="9" t="str">
        <x:v>Akio Suyama, Chisa Yokoyama, Urara Takano, Michie Tomizawa (voices)</x:v>
      </x:c>
      <x:c r="U679" s="9" t="n">
        <x:v>1</x:v>
      </x:c>
      <x:c r="V679" s="9" t="str">
        <x:v>Yes</x:v>
      </x:c>
      <x:c r="W679" s="9" t="str">
        <x:v>Windows 95, CD-ROM</x:v>
      </x:c>
      <x:c r="X679" s="9" t="str">
        <x:v>Med</x:v>
      </x:c>
      <x:c r="Y679" s="9" t="str">
        <x:v>Anime theme song (Geki! Teikoku Kagekidan)</x:v>
      </x:c>
      <x:c r="Z679" s="9" t="str">
        <x:v>20–30 hr</x:v>
      </x:c>
      <x:c r="AA679" s="9" t="str">
        <x:v>Sega's own Windows port of the Saturn hit, with its anime cutscenes intact.</x:v>
      </x:c>
      <x:c r="AB679" s="9" t="str">
        <x:v>None known</x:v>
      </x:c>
      <x:c r="AC679" s="9" t="str">
        <x:v>Anime cutscenes (verify resolution)</x:v>
      </x:c>
      <x:c r="AD679" s="9" t="str">
        <x:v>Easy–Medium</x:v>
      </x:c>
      <x:c r="AE679" s="9" t="str">
        <x:v>Multiple heroine endings</x:v>
      </x:c>
      <x:c r="AF679" s="9" t="str">
        <x:v>Sega PC released it in Japan; Chinese-language PC versions followed.</x:v>
      </x:c>
      <x:c r="AG679" s="9" t="str">
        <x:v>Windows Special Limited Edition (JP)</x:v>
      </x:c>
      <x:c r="AH679" s="9" t="str">
        <x:v>No</x:v>
      </x:c>
      <x:c r="AI679" s="9" t="str">
        <x:v>Emulation only</x:v>
      </x:c>
      <x:c r="AJ679" s="9" t="str">
        <x:v>Windows 95/98 VM or 86Box</x:v>
      </x:c>
      <x:c r="AK679" s="9" t="str">
        <x:v>Japanese-only PC release; in scope as tie to indexed Saturn record. Disc count (verify).</x:v>
      </x:c>
      <x:c r="AL679" s="10"/>
      <x:c r="AM679" s="10"/>
      <x:c r="AN679" s="10"/>
      <x:c r="AO679" s="9"/>
      <x:c r="AP679" s="11" t="str">
        <x:f>HYPERLINK("https://www.pricecharting.com/search-products?q=Sakura+Wars+pc+games&amp;type=prices","PriceCharting")</x:f>
        <x:v>PriceCharting</x:v>
      </x:c>
      <x:c r="AQ679" s="9"/>
      <x:c r="AR679" s="9"/>
      <x:c r="AS679" s="9"/>
      <x:c r="AT679" s="9"/>
      <x:c r="AU679" s="9" t="str">
        <x:v>No market</x:v>
      </x:c>
      <x:c r="AV679" s="9" t="str">
        <x:v>Not sold on Steam or GOG (checked 2026-10-25) and no PriceCharting listing.</x:v>
      </x:c>
      <x:c r="AW679" s="9"/>
      <x:c r="AX679" s="9"/>
      <x:c r="AY679" s="9"/>
      <x:c r="AZ679" s="9" t="str">
        <x:v>3.4</x:v>
      </x:c>
      <x:c r="BA679" s="11" t="str">
        <x:f>HYPERLINK("https://www.mobygames.com/game/windows/sakura-taisen","MobyGames")</x:f>
        <x:v>MobyGames</x:v>
      </x:c>
      <x:c r="BB679" s="9"/>
      <x:c r="BC679" s="9"/>
      <x:c r="BD679" s="9"/>
      <x:c r="BE679" s="11" t="str">
        <x:f>HYPERLINK("https://en.wikipedia.org/wiki/List_of_Sakura_Wars_media","Wikipedia")</x:f>
        <x:v>Wikipedia</x:v>
      </x:c>
      <x:c r="BF679" s="11" t="str">
        <x:f>HYPERLINK("https://backloggd.com/search/games/Sakura%20Wars/","Backloggd")</x:f>
        <x:v>Backloggd</x:v>
      </x:c>
      <x:c r="BG679" s="9"/>
      <x:c r="BH679" s="9"/>
      <x:c r="BI679" s="12" t="str">
        <x:v>No</x:v>
      </x:c>
      <x:c r="BJ679" s="12" t="str"/>
      <x:c r="BK679" s="12" t="str">
        <x:v>No</x:v>
      </x:c>
      <x:c r="BL679" s="12" t="str"/>
      <x:c r="BM679" s="12" t="str"/>
      <x:c r="BN679" s="12" t="str"/>
      <x:c r="BO679" s="12" t="str"/>
      <x:c r="BP679" s="12" t="str"/>
      <x:c r="BQ679" s="12" t="str"/>
    </x:row>
    <x:row r="680">
      <x:c r="A680" s="9" t="str">
        <x:v>pc-150</x:v>
      </x:c>
      <x:c r="B680" s="9" t="str">
        <x:v>lunar-silver-star-story</x:v>
      </x:c>
      <x:c r="C680" s="9" t="str">
        <x:v>PC</x:v>
      </x:c>
      <x:c r="D680" s="9" t="str">
        <x:v>Lunar: Silver Star Story Complete</x:v>
      </x:c>
      <x:c r="E680" s="9" t="str">
        <x:v>Lunar: Silver Star Story (Windows)</x:v>
      </x:c>
      <x:c r="F680" s="9" t="str">
        <x:v>Game Arts / Japan Art Media</x:v>
      </x:c>
      <x:c r="G680" s="9" t="str">
        <x:v>Kadokawa Shoten (JP)</x:v>
      </x:c>
      <x:c r="H680" s="9" t="n">
        <x:v>1998</x:v>
      </x:c>
      <x:c r="I680" s="9" t="str">
        <x:v>No</x:v>
      </x:c>
      <x:c r="J680" s="9" t="str">
        <x:v>Yes</x:v>
      </x:c>
      <x:c r="K680" s="9" t="str">
        <x:v>No</x:v>
      </x:c>
      <x:c r="L680" s="9" t="str">
        <x:v>No</x:v>
      </x:c>
      <x:c r="M680" s="9" t="str">
        <x:v>RPG</x:v>
      </x:c>
      <x:c r="N680" s="9" t="str">
        <x:v>Animated</x:v>
      </x:c>
      <x:c r="O680" s="9" t="n">
        <x:v>3</x:v>
      </x:c>
      <x:c r="P680" s="9" t="str">
        <x:v>Cutscenes only</x:v>
      </x:c>
      <x:c r="Q680" s="9" t="str">
        <x:v>Released</x:v>
      </x:c>
      <x:c r="R680" s="9" t="str">
        <x:v>Port of Saturn/PlayStation remake</x:v>
      </x:c>
      <x:c r="S680" s="9" t="str">
        <x:v>Saturn, PlayStation</x:v>
      </x:c>
      <x:c r="T680" s="9" t="str">
        <x:v>Japanese voice cast</x:v>
      </x:c>
      <x:c r="U680" s="9" t="n">
        <x:v>1</x:v>
      </x:c>
      <x:c r="V680" s="9" t="str">
        <x:v>Yes</x:v>
      </x:c>
      <x:c r="W680" s="9" t="str">
        <x:v>Windows 95, CD-ROM</x:v>
      </x:c>
      <x:c r="X680" s="9" t="str">
        <x:v>Med</x:v>
      </x:c>
      <x:c r="Y680" s="9" t="str">
        <x:v>Anime songs</x:v>
      </x:c>
      <x:c r="Z680" s="9" t="str">
        <x:v>25–35 hr</x:v>
      </x:c>
      <x:c r="AA680" s="9" t="str">
        <x:v>The Windows port of the anime-cutscene Lunar remake, Japan only.</x:v>
      </x:c>
      <x:c r="AB680" s="9" t="str">
        <x:v>None known</x:v>
      </x:c>
      <x:c r="AC680" s="9" t="str">
        <x:v>Anime cutscenes</x:v>
      </x:c>
      <x:c r="AD680" s="9" t="str">
        <x:v>Easy</x:v>
      </x:c>
      <x:c r="AE680" s="9" t="str">
        <x:v>Single ending</x:v>
      </x:c>
      <x:c r="AF680" s="9" t="str">
        <x:v>The Cutting Room Floor documents the Windows version separately.</x:v>
      </x:c>
      <x:c r="AG680" s="9" t="str"/>
      <x:c r="AH680" s="9" t="str">
        <x:v>No</x:v>
      </x:c>
      <x:c r="AI680" s="9" t="str">
        <x:v>Emulation only</x:v>
      </x:c>
      <x:c r="AJ680" s="9" t="str">
        <x:v>Windows 95/98 VM or 86Box</x:v>
      </x:c>
      <x:c r="AK680" s="9" t="str">
        <x:v>Japan (and possibly Korea) only; year 1998–1999 (verify). Not priced.</x:v>
      </x:c>
      <x:c r="AL680" s="10"/>
      <x:c r="AM680" s="10"/>
      <x:c r="AN680" s="10"/>
      <x:c r="AO680" s="9"/>
      <x:c r="AP680" s="11" t="str">
        <x:f>HYPERLINK("https://www.pricecharting.com/search-products?q=Lunar%3A+Silver+Star+Story+Complete+pc+games&amp;type=prices","PriceCharting")</x:f>
        <x:v>PriceCharting</x:v>
      </x:c>
      <x:c r="AQ680" s="9" t="n">
        <x:v>49.99</x:v>
      </x:c>
      <x:c r="AR680" s="11" t="str">
        <x:v>Steam</x:v>
      </x:c>
      <x:c r="AS680" s="9" t="str">
        <x:f>HYPERLINK("https://store.steampowered.com/app/3255380/","Store")</x:f>
        <x:v>Store</x:v>
      </x:c>
      <x:c r="AT680" s="9" t="str">
        <x:v>2026-10-24</x:v>
      </x:c>
      <x:c r="AU680" s="9"/>
      <x:c r="AV680" s="9"/>
      <x:c r="AW680" s="9"/>
      <x:c r="AX680" s="9"/>
      <x:c r="AY680" s="9"/>
      <x:c r="AZ680" s="9"/>
      <x:c r="BA680" s="11" t="str">
        <x:f>HYPERLINK("https://www.mobygames.com/search/?q=Lunar%3A+Silver+Star+Story+Complete","MobyGames")</x:f>
        <x:v>MobyGames</x:v>
      </x:c>
      <x:c r="BB680" s="9"/>
      <x:c r="BC680" s="9"/>
      <x:c r="BD680" s="9"/>
      <x:c r="BE680" s="11" t="str">
        <x:f>HYPERLINK("https://en.wikipedia.org/wiki/Lunar:_Silver_Star_Story_Complete","Wikipedia")</x:f>
        <x:v>Wikipedia</x:v>
      </x:c>
      <x:c r="BF680" s="11" t="str">
        <x:f>HYPERLINK("https://backloggd.com/search/games/Lunar%3A%20Silver%20Star%20Story%20Complete/","Backloggd")</x:f>
        <x:v>Backloggd</x:v>
      </x:c>
      <x:c r="BG680" s="9"/>
      <x:c r="BH680" s="9"/>
      <x:c r="BI680" s="12" t="str">
        <x:v>No</x:v>
      </x:c>
      <x:c r="BJ680" s="12" t="str"/>
      <x:c r="BK680" s="12" t="str">
        <x:v>No</x:v>
      </x:c>
      <x:c r="BL680" s="12" t="str"/>
      <x:c r="BM680" s="12" t="str"/>
      <x:c r="BN680" s="12" t="str"/>
      <x:c r="BO680" s="12" t="str"/>
      <x:c r="BP680" s="12" t="str"/>
      <x:c r="BQ680" s="12" t="str"/>
    </x:row>
    <x:row r="681">
      <x:c r="A681" s="9" t="str">
        <x:v>pc-151</x:v>
      </x:c>
      <x:c r="B681" s="9" t="str">
        <x:v>command-and-conquer</x:v>
      </x:c>
      <x:c r="C681" s="9" t="str">
        <x:v>PC</x:v>
      </x:c>
      <x:c r="D681" s="9" t="str">
        <x:v>Command &amp; Conquer</x:v>
      </x:c>
      <x:c r="E681" s="9" t="str"/>
      <x:c r="F681" s="9" t="str">
        <x:v>Westwood Studios</x:v>
      </x:c>
      <x:c r="G681" s="9" t="str">
        <x:v>Virgin Interactive</x:v>
      </x:c>
      <x:c r="H681" s="9" t="n">
        <x:v>1995</x:v>
      </x:c>
      <x:c r="I681" s="9" t="str">
        <x:v>Yes</x:v>
      </x:c>
      <x:c r="J681" s="9" t="str">
        <x:v>Yes</x:v>
      </x:c>
      <x:c r="K681" s="9" t="str">
        <x:v>Yes</x:v>
      </x:c>
      <x:c r="L681" s="9" t="str">
        <x:v>No</x:v>
      </x:c>
      <x:c r="M681" s="9" t="str">
        <x:v>Real-time strategy</x:v>
      </x:c>
      <x:c r="N681" s="9" t="str">
        <x:v>Live-action + pre-rendered CG</x:v>
      </x:c>
      <x:c r="O681" s="9" t="n">
        <x:v>3</x:v>
      </x:c>
      <x:c r="P681" s="9" t="str">
        <x:v>Cutscenes only</x:v>
      </x:c>
      <x:c r="Q681" s="9" t="str">
        <x:v>Released</x:v>
      </x:c>
      <x:c r="R681" s="9" t="str">
        <x:v>PC original (1995)</x:v>
      </x:c>
      <x:c r="S681" s="9" t="str">
        <x:v>Mac, PlayStation, Saturn, N64; Windows 95 'Gold' edition (1996)</x:v>
      </x:c>
      <x:c r="T681" s="9" t="str">
        <x:v>Joseph D. Kucan (Kane), Eric Alan Martin (General Mark Sheppard); remaining briefing roles played by Westwood staff</x:v>
      </x:c>
      <x:c r="U681" s="9" t="n">
        <x:v>2</x:v>
      </x:c>
      <x:c r="V681" s="9" t="str">
        <x:v>Yes</x:v>
      </x:c>
      <x:c r="W681" s="9" t="str">
        <x:v>486DX/33, 8 MB RAM, 2x CD-ROM, VGA; DOS (Win95 Gold edition 1996)</x:v>
      </x:c>
      <x:c r="X681" s="9" t="str">
        <x:v>Low</x:v>
      </x:c>
      <x:c r="Y681" s="9" t="str"/>
      <x:c r="Z681" s="9" t="str">
        <x:v>15–25 hr</x:v>
      </x:c>
      <x:c r="AA681" s="9" t="str">
        <x:v>Kane's live-action sermons and the GDI/Nod news briefings set the template for every FMV-era strategy game.</x:v>
      </x:c>
      <x:c r="AB681" s="9" t="str">
        <x:v>None known</x:v>
      </x:c>
      <x:c r="AC681" s="9" t="str">
        <x:v>VQA movies at 320x200, roughly 15 fps, mostly CG with live-action briefings (verify)</x:v>
      </x:c>
      <x:c r="AD681" s="9" t="str">
        <x:v>Hard late missions on both campaigns</x:v>
      </x:c>
      <x:c r="AE681" s="9" t="str">
        <x:v>GDI and Nod campaigns, each with its own ending (Nod has an alternate ending, verify)</x:v>
      </x:c>
      <x:c r="AF681" s="9" t="str">
        <x:v>Kane was played by Westwood cinematics director Joseph Kucan, who kept the role for every later C&amp;C game.</x:v>
      </x:c>
      <x:c r="AG681" s="9" t="str">
        <x:v>DOS 2-disc (GDI/Nod) big box; Windows 95 C&amp;C Gold (SVGA); Covert Operations expansion; The Covert Operations bundle; freeware ISO release 2007</x:v>
      </x:c>
      <x:c r="AH681" s="9" t="str">
        <x:v>Yes (C&amp;C Remastered Collection on Steam/EA app, includes the FMV; original freeware since 2007)</x:v>
      </x:c>
      <x:c r="AI681" s="9" t="str">
        <x:v>Easy</x:v>
      </x:c>
      <x:c r="AJ681" s="9" t="str">
        <x:v>C&amp;C Remastered Collection (Steam/EA app); original DOS discs in DOSBox</x:v>
      </x:c>
      <x:c r="AK681" s="9" t="str">
        <x:v>MobyGames DOS/Windows score not visible in search results (no snippets); left blank. PriceCharting PC price not fetched: the shared WebFetch budget was exhausted for this batch; price null (re-run price pull).</x:v>
      </x:c>
      <x:c r="AL681" s="10" t="n">
        <x:v>9.22</x:v>
      </x:c>
      <x:c r="AM681" s="10" t="n">
        <x:v>24.99</x:v>
      </x:c>
      <x:c r="AN681" s="10" t="n">
        <x:v>154.51</x:v>
      </x:c>
      <x:c r="AO681" s="9" t="str">
        <x:v>2026-10-24</x:v>
      </x:c>
      <x:c r="AP681" s="11" t="str">
        <x:f>HYPERLINK("https://www.pricecharting.com/game/pc-games/command-&amp;amp;-conquer","PriceCharting")</x:f>
        <x:v>PriceCharting</x:v>
      </x:c>
      <x:c r="AQ681" s="9"/>
      <x:c r="AR681" s="9"/>
      <x:c r="AS681" s="9"/>
      <x:c r="AT681" s="9"/>
      <x:c r="AU681" s="9"/>
      <x:c r="AV681" s="9"/>
      <x:c r="AW681" s="9"/>
      <x:c r="AX681" s="9"/>
      <x:c r="AY681" s="9"/>
      <x:c r="AZ681" s="9"/>
      <x:c r="BA681" s="11" t="str">
        <x:f>HYPERLINK("https://www.mobygames.com/game/338/command-conquer/","MobyGames")</x:f>
        <x:v>MobyGames</x:v>
      </x:c>
      <x:c r="BB681" s="9" t="str">
        <x:v>84%</x:v>
      </x:c>
      <x:c r="BC681" s="9" t="str">
        <x:v>GameRankings, 3 reviews</x:v>
      </x:c>
      <x:c r="BD681" s="9" t="str">
        <x:f>HYPERLINK("https://web.archive.org/web/20191209011044id_/https://www.gamerankings.com/pc/196957-command-and-conquer/","Source")</x:f>
        <x:v>Source</x:v>
      </x:c>
      <x:c r="BE681" s="11" t="str">
        <x:f>HYPERLINK("https://en.wikipedia.org/wiki/Command_%26_Conquer_(1995_video_game)","Wikipedia")</x:f>
        <x:v>Wikipedia</x:v>
      </x:c>
      <x:c r="BF681" s="11" t="str">
        <x:f>HYPERLINK("https://backloggd.com/search/games/Command%20%26%20Conquer/","Backloggd")</x:f>
        <x:v>Backloggd</x:v>
      </x:c>
      <x:c r="BG681" s="9"/>
      <x:c r="BH681" s="9"/>
      <x:c r="BI681" s="12" t="str">
        <x:v>No</x:v>
      </x:c>
      <x:c r="BJ681" s="12" t="str"/>
      <x:c r="BK681" s="12" t="str">
        <x:v>No</x:v>
      </x:c>
      <x:c r="BL681" s="12" t="str"/>
      <x:c r="BM681" s="12" t="str"/>
      <x:c r="BN681" s="12" t="str"/>
      <x:c r="BO681" s="12" t="str"/>
      <x:c r="BP681" s="12" t="str"/>
      <x:c r="BQ681" s="12" t="str"/>
    </x:row>
    <x:row r="682">
      <x:c r="A682" s="9" t="str">
        <x:v>pc-152</x:v>
      </x:c>
      <x:c r="B682" s="9" t="str">
        <x:v>command-and-conquer-red-alert</x:v>
      </x:c>
      <x:c r="C682" s="9" t="str">
        <x:v>PC</x:v>
      </x:c>
      <x:c r="D682" s="9" t="str">
        <x:v>Command &amp; Conquer: Red Alert</x:v>
      </x:c>
      <x:c r="E682" s="9" t="str"/>
      <x:c r="F682" s="9" t="str">
        <x:v>Westwood Studios</x:v>
      </x:c>
      <x:c r="G682" s="9" t="str">
        <x:v>Virgin Interactive</x:v>
      </x:c>
      <x:c r="H682" s="9" t="n">
        <x:v>1996</x:v>
      </x:c>
      <x:c r="I682" s="9" t="str">
        <x:v>Yes</x:v>
      </x:c>
      <x:c r="J682" s="9" t="str">
        <x:v>Yes</x:v>
      </x:c>
      <x:c r="K682" s="9" t="str">
        <x:v>Yes</x:v>
      </x:c>
      <x:c r="L682" s="9" t="str">
        <x:v>No</x:v>
      </x:c>
      <x:c r="M682" s="9" t="str">
        <x:v>Real-time strategy</x:v>
      </x:c>
      <x:c r="N682" s="9" t="str">
        <x:v>Live-action + pre-rendered CG</x:v>
      </x:c>
      <x:c r="O682" s="9" t="n">
        <x:v>3</x:v>
      </x:c>
      <x:c r="P682" s="9" t="str">
        <x:v>Cutscenes only</x:v>
      </x:c>
      <x:c r="Q682" s="9" t="str">
        <x:v>Released</x:v>
      </x:c>
      <x:c r="R682" s="9" t="str">
        <x:v>PC original (1996)</x:v>
      </x:c>
      <x:c r="S682" s="9" t="str">
        <x:v>PlayStation (incl. Retaliation)</x:v>
      </x:c>
      <x:c r="T682" s="9" t="str">
        <x:v>Joseph D. Kucan (Kane cameo); Stalin, Nadia, Tanya and Gradenko actors (verify names)</x:v>
      </x:c>
      <x:c r="U682" s="9" t="n">
        <x:v>2</x:v>
      </x:c>
      <x:c r="V682" s="9" t="str">
        <x:v>Yes</x:v>
      </x:c>
      <x:c r="W682" s="9" t="str">
        <x:v>486DX2/66, 8 MB RAM (16 MB Win95), 2x CD-ROM, SVGA; DOS &amp; Win95</x:v>
      </x:c>
      <x:c r="X682" s="9" t="str">
        <x:v>Low</x:v>
      </x:c>
      <x:c r="Y682" s="9" t="str"/>
      <x:c r="Z682" s="9" t="str">
        <x:v>20–30 hr</x:v>
      </x:c>
      <x:c r="AA682" s="9" t="str">
        <x:v>Hammy live-action Stalin, Einstein and Tanya briefings in an alternate Cold War, and the video endings are worth the trip.</x:v>
      </x:c>
      <x:c r="AB682" s="9" t="str">
        <x:v>None known</x:v>
      </x:c>
      <x:c r="AC682" s="9" t="str">
        <x:v>VQA movies at 320x200 line-doubled, about 15 fps (verify)</x:v>
      </x:c>
      <x:c r="AD682" s="9" t="str">
        <x:v>Moderate to hard; Soviet missions are punishing</x:v>
      </x:c>
      <x:c r="AE682" s="9" t="str">
        <x:v>Allied and Soviet campaigns with separate endings; Soviet ending ties into Kane</x:v>
      </x:c>
      <x:c r="AF682" s="9" t="str">
        <x:v>The Soviet ending's Kane cameo was the first hint that Red Alert is a prequel to Tiberian Dawn.</x:v>
      </x:c>
      <x:c r="AG682" s="9" t="str">
        <x:v>2-disc (Allies/Soviet) big box; Counterstrike and The Aftermath expansions; Red Alert complete bundle (1999); freeware 2008</x:v>
      </x:c>
      <x:c r="AH682" s="9" t="str">
        <x:v>Yes (C&amp;C Remastered Collection on Steam/EA app; original freeware since 2008)</x:v>
      </x:c>
      <x:c r="AI682" s="9" t="str">
        <x:v>Easy</x:v>
      </x:c>
      <x:c r="AJ682" s="9" t="str">
        <x:v>C&amp;C Remastered Collection (Steam/EA app); original discs in DOSBox</x:v>
      </x:c>
      <x:c r="AK682" s="9" t="str">
        <x:v>MobyGames DOS/Windows score not visible in search results (no snippets); left blank. PriceCharting PC price not fetched: the shared WebFetch budget was exhausted for this batch; price null (re-run price pull).</x:v>
      </x:c>
      <x:c r="AL682" s="10" t="n">
        <x:v>7.57</x:v>
      </x:c>
      <x:c r="AM682" s="10" t="n">
        <x:v>23.13</x:v>
      </x:c>
      <x:c r="AN682" s="10" t="n">
        <x:v>40</x:v>
      </x:c>
      <x:c r="AO682" s="9" t="str">
        <x:v>2026-10-24</x:v>
      </x:c>
      <x:c r="AP682" s="11" t="str">
        <x:f>HYPERLINK("https://www.pricecharting.com/game/pc-games/command-&amp;amp;-conquer-red-alert","PriceCharting")</x:f>
        <x:v>PriceCharting</x:v>
      </x:c>
      <x:c r="AQ682" s="9"/>
      <x:c r="AR682" s="9"/>
      <x:c r="AS682" s="9"/>
      <x:c r="AT682" s="9"/>
      <x:c r="AU682" s="9"/>
      <x:c r="AV682" s="9"/>
      <x:c r="AW682" s="9"/>
      <x:c r="AX682" s="9"/>
      <x:c r="AY682" s="9"/>
      <x:c r="AZ682" s="9"/>
      <x:c r="BA682" s="11" t="str">
        <x:f>HYPERLINK("https://www.mobygames.com/game/485/command-conquer-red-alert/","MobyGames")</x:f>
        <x:v>MobyGames</x:v>
      </x:c>
      <x:c r="BB682" s="9" t="str">
        <x:v>90%</x:v>
      </x:c>
      <x:c r="BC682" s="9" t="str">
        <x:v>Metacritic (PC), via Wikipedia; review count not given</x:v>
      </x:c>
      <x:c r="BD682" s="9" t="str">
        <x:f>HYPERLINK("https://en.wikipedia.org/wiki/Command_%26_Conquer%3A_Red_Alert","Source")</x:f>
        <x:v>Source</x:v>
      </x:c>
      <x:c r="BE682" s="11" t="str">
        <x:f>HYPERLINK("https://en.wikipedia.org/wiki/Command_%26_Conquer:_Red_Alert","Wikipedia")</x:f>
        <x:v>Wikipedia</x:v>
      </x:c>
      <x:c r="BF682" s="11" t="str">
        <x:f>HYPERLINK("https://backloggd.com/search/games/Command%20%26%20Conquer%3A%20Red%20Alert/","Backloggd")</x:f>
        <x:v>Backloggd</x:v>
      </x:c>
      <x:c r="BG682" s="9"/>
      <x:c r="BH682" s="9"/>
      <x:c r="BI682" s="12" t="str">
        <x:v>No</x:v>
      </x:c>
      <x:c r="BJ682" s="12" t="str"/>
      <x:c r="BK682" s="12" t="str">
        <x:v>No</x:v>
      </x:c>
      <x:c r="BL682" s="12" t="str"/>
      <x:c r="BM682" s="12" t="str"/>
      <x:c r="BN682" s="12" t="str"/>
      <x:c r="BO682" s="12" t="str"/>
      <x:c r="BP682" s="12" t="str"/>
      <x:c r="BQ682" s="12" t="str"/>
    </x:row>
    <x:row r="683">
      <x:c r="A683" s="9" t="str">
        <x:v>pc-153</x:v>
      </x:c>
      <x:c r="B683" s="9" t="str">
        <x:v>command-and-conquer-tiberian-sun</x:v>
      </x:c>
      <x:c r="C683" s="9" t="str">
        <x:v>PC</x:v>
      </x:c>
      <x:c r="D683" s="9" t="str">
        <x:v>Command &amp; Conquer: Tiberian Sun</x:v>
      </x:c>
      <x:c r="E683" s="9" t="str"/>
      <x:c r="F683" s="9" t="str">
        <x:v>Westwood Studios</x:v>
      </x:c>
      <x:c r="G683" s="9" t="str">
        <x:v>Electronic Arts / Westwood</x:v>
      </x:c>
      <x:c r="H683" s="9" t="n">
        <x:v>1999</x:v>
      </x:c>
      <x:c r="I683" s="9" t="str">
        <x:v>Yes</x:v>
      </x:c>
      <x:c r="J683" s="9" t="str">
        <x:v>Yes</x:v>
      </x:c>
      <x:c r="K683" s="9" t="str">
        <x:v>Yes</x:v>
      </x:c>
      <x:c r="L683" s="9" t="str">
        <x:v>No</x:v>
      </x:c>
      <x:c r="M683" s="9" t="str">
        <x:v>Real-time strategy</x:v>
      </x:c>
      <x:c r="N683" s="9" t="str">
        <x:v>Live-action + CG</x:v>
      </x:c>
      <x:c r="O683" s="9" t="n">
        <x:v>3</x:v>
      </x:c>
      <x:c r="P683" s="9" t="str">
        <x:v>Cutscenes only</x:v>
      </x:c>
      <x:c r="Q683" s="9" t="str">
        <x:v>Released</x:v>
      </x:c>
      <x:c r="R683" s="9" t="str">
        <x:v>PC original (1999)</x:v>
      </x:c>
      <x:c r="S683" s="9" t="str">
        <x:v>—</x:v>
      </x:c>
      <x:c r="T683" s="9" t="str">
        <x:v>James Earl Jones (General Solomon), Michael Biehn (Commander McNeil), Joseph D. Kucan (Kane), Frank Zagarino (Slavik), Monika Schnarre (Oxanna), Christine Steel, Gil Birmingham, Christopher Winfield, Nils Allen Stewart (the Forgotten)</x:v>
      </x:c>
      <x:c r="U683" s="9" t="n">
        <x:v>2</x:v>
      </x:c>
      <x:c r="V683" s="9" t="str">
        <x:v>Yes</x:v>
      </x:c>
      <x:c r="W683" s="9" t="str">
        <x:v>Pentium 166, 32 MB RAM, 4x CD-ROM, SVGA; Win95/98/NT</x:v>
      </x:c>
      <x:c r="X683" s="9" t="str">
        <x:v>Low</x:v>
      </x:c>
      <x:c r="Y683" s="9" t="str"/>
      <x:c r="Z683" s="9" t="str">
        <x:v>20–30 hr</x:v>
      </x:c>
      <x:c r="AA683" s="9" t="str">
        <x:v>James Earl Jones and Michael Biehn on virtual sets while Kane returns from the dead: peak late-90s Westwood FMV.</x:v>
      </x:c>
      <x:c r="AB683" s="9" t="str">
        <x:v>None known</x:v>
      </x:c>
      <x:c r="AC683" s="9" t="str">
        <x:v>Live actors on blue-screen CG sets, VQA video about 640x400 at 15 fps (verify)</x:v>
      </x:c>
      <x:c r="AD683" s="9" t="str">
        <x:v>Moderate</x:v>
      </x:c>
      <x:c r="AE683" s="9" t="str">
        <x:v>GDI and Nod campaigns, each with its own ending</x:v>
      </x:c>
      <x:c r="AF683" s="9" t="str">
        <x:v>The cast was shot against blue screen and composited into CG sets, unlike the practical sets of earlier C&amp;C games.</x:v>
      </x:c>
      <x:c r="AG683" s="9" t="str">
        <x:v>Standard 2-disc box; Platinum Edition; Firestorm expansion (2000) adds more FMV; freeware 2010</x:v>
      </x:c>
      <x:c r="AH683" s="9" t="str">
        <x:v>Yes (C&amp;C The Ultimate Collection on Steam/EA app; freeware 2010)</x:v>
      </x:c>
      <x:c r="AI683" s="9" t="str">
        <x:v>Easy</x:v>
      </x:c>
      <x:c r="AJ683" s="9" t="str">
        <x:v>C&amp;C The Ultimate Collection (Steam/EA app) or freeware release</x:v>
      </x:c>
      <x:c r="AK683" s="9" t="str">
        <x:v>MobyGames DOS/Windows score not visible in search results (no snippets); left blank. PriceCharting PC price not fetched: the shared WebFetch budget was exhausted for this batch; price null (re-run price pull).</x:v>
      </x:c>
      <x:c r="AL683" s="10" t="n">
        <x:v>7.89</x:v>
      </x:c>
      <x:c r="AM683" s="10" t="n">
        <x:v>38.06</x:v>
      </x:c>
      <x:c r="AN683" s="10" t="n">
        <x:v>76</x:v>
      </x:c>
      <x:c r="AO683" s="9" t="str">
        <x:v>2026-10-24</x:v>
      </x:c>
      <x:c r="AP683" s="11" t="str">
        <x:f>HYPERLINK("https://www.pricecharting.com/game/pc-games/command-&amp;amp;-conquer-tiberian-sun","PriceCharting")</x:f>
        <x:v>PriceCharting</x:v>
      </x:c>
      <x:c r="AQ683" s="9"/>
      <x:c r="AR683" s="9"/>
      <x:c r="AS683" s="9"/>
      <x:c r="AT683" s="9"/>
      <x:c r="AU683" s="9"/>
      <x:c r="AV683" s="9"/>
      <x:c r="AW683" s="9"/>
      <x:c r="AX683" s="9"/>
      <x:c r="AY683" s="9" t="str">
        <x:v>81%</x:v>
      </x:c>
      <x:c r="AZ683" s="9" t="str">
        <x:v>3.6</x:v>
      </x:c>
      <x:c r="BA683" s="11" t="str">
        <x:f>HYPERLINK("https://www.mobygames.com/game/windows/command-conquer-tiberian-sun","MobyGames")</x:f>
        <x:v>MobyGames</x:v>
      </x:c>
      <x:c r="BB683" s="9"/>
      <x:c r="BC683" s="9"/>
      <x:c r="BD683" s="9"/>
      <x:c r="BE683" s="11" t="str">
        <x:f>HYPERLINK("https://en.wikipedia.org/wiki/Command_%26_Conquer:_Tiberian_Sun","Wikipedia")</x:f>
        <x:v>Wikipedia</x:v>
      </x:c>
      <x:c r="BF683" s="11" t="str">
        <x:f>HYPERLINK("https://backloggd.com/search/games/Command%20%26%20Conquer%3A%20Tiberian%20Sun/","Backloggd")</x:f>
        <x:v>Backloggd</x:v>
      </x:c>
      <x:c r="BG683" s="9"/>
      <x:c r="BH683" s="9"/>
      <x:c r="BI683" s="12" t="str">
        <x:v>No</x:v>
      </x:c>
      <x:c r="BJ683" s="12" t="str"/>
      <x:c r="BK683" s="12" t="str">
        <x:v>No</x:v>
      </x:c>
      <x:c r="BL683" s="12" t="str"/>
      <x:c r="BM683" s="12" t="str"/>
      <x:c r="BN683" s="12" t="str"/>
      <x:c r="BO683" s="12" t="str"/>
      <x:c r="BP683" s="12" t="str"/>
      <x:c r="BQ683" s="12" t="str"/>
    </x:row>
    <x:row r="684">
      <x:c r="A684" s="9" t="str">
        <x:v>pc-154</x:v>
      </x:c>
      <x:c r="B684" s="9" t="str">
        <x:v>command-and-conquer-red-alert-2</x:v>
      </x:c>
      <x:c r="C684" s="9" t="str">
        <x:v>PC</x:v>
      </x:c>
      <x:c r="D684" s="9" t="str">
        <x:v>Command &amp; Conquer: Red Alert 2</x:v>
      </x:c>
      <x:c r="E684" s="9" t="str"/>
      <x:c r="F684" s="9" t="str">
        <x:v>Westwood Studios</x:v>
      </x:c>
      <x:c r="G684" s="9" t="str">
        <x:v>Electronic Arts / Westwood</x:v>
      </x:c>
      <x:c r="H684" s="9" t="n">
        <x:v>2000</x:v>
      </x:c>
      <x:c r="I684" s="9" t="str">
        <x:v>Yes</x:v>
      </x:c>
      <x:c r="J684" s="9" t="str">
        <x:v>Yes</x:v>
      </x:c>
      <x:c r="K684" s="9" t="str">
        <x:v>Yes</x:v>
      </x:c>
      <x:c r="L684" s="9" t="str">
        <x:v>No</x:v>
      </x:c>
      <x:c r="M684" s="9" t="str">
        <x:v>Real-time strategy</x:v>
      </x:c>
      <x:c r="N684" s="9" t="str">
        <x:v>Live-action + CG</x:v>
      </x:c>
      <x:c r="O684" s="9" t="n">
        <x:v>3</x:v>
      </x:c>
      <x:c r="P684" s="9" t="str">
        <x:v>Cutscenes only</x:v>
      </x:c>
      <x:c r="Q684" s="9" t="str">
        <x:v>Released</x:v>
      </x:c>
      <x:c r="R684" s="9" t="str">
        <x:v>PC original (2000)</x:v>
      </x:c>
      <x:c r="S684" s="9" t="str">
        <x:v>—</x:v>
      </x:c>
      <x:c r="T684" s="9" t="str">
        <x:v>Ray Wise (President Dugan), Barry Corbin (General Carville), Udo Kier (Yuri), Kari Wuhrer (Tanya), Athena Massey (Lt. Eva Lee), Nicholas Worth (Premier Romanov), Larry Gelman (Einstein), Adam Gregor (General Vladimir), Aleksandra Kaniak (Lt. Zofia)</x:v>
      </x:c>
      <x:c r="U684" s="9" t="n">
        <x:v>2</x:v>
      </x:c>
      <x:c r="V684" s="9" t="str">
        <x:v>Yes</x:v>
      </x:c>
      <x:c r="W684" s="9" t="str">
        <x:v>Pentium II 266, 64 MB RAM, 4x CD-ROM; Win95/98/ME/2000</x:v>
      </x:c>
      <x:c r="X684" s="9" t="str">
        <x:v>Low</x:v>
      </x:c>
      <x:c r="Y684" s="9" t="str"/>
      <x:c r="Z684" s="9" t="str">
        <x:v>15–25 hr</x:v>
      </x:c>
      <x:c r="AA684" s="9" t="str">
        <x:v>The campiest cast Westwood ever hired: Udo Kier's psychic Yuri, Ray Wise's president, and briefings delivered straight to camera.</x:v>
      </x:c>
      <x:c r="AB684" s="9" t="str">
        <x:v>None known</x:v>
      </x:c>
      <x:c r="AC684" s="9" t="str">
        <x:v>Full-screen live-action briefings over CG sets, roughly 640x400 at 15 fps (verify)</x:v>
      </x:c>
      <x:c r="AD684" s="9" t="str">
        <x:v>Moderate</x:v>
      </x:c>
      <x:c r="AE684" s="9" t="str">
        <x:v>Allied and Soviet campaigns with separate video endings</x:v>
      </x:c>
      <x:c r="AF684" s="9" t="str">
        <x:v>The box art originally showed the World Trade Center burning and was changed after September 2001 (verify).</x:v>
      </x:c>
      <x:c r="AG684" s="9" t="str">
        <x:v>2-disc Allied/Soviet box; Collector's Edition; Yuri's Revenge expansion (2001) with more FMV</x:v>
      </x:c>
      <x:c r="AH684" s="9" t="str">
        <x:v>Yes (C&amp;C The Ultimate Collection on Steam/EA app)</x:v>
      </x:c>
      <x:c r="AI684" s="9" t="str">
        <x:v>Easy</x:v>
      </x:c>
      <x:c r="AJ684" s="9" t="str">
        <x:v>C&amp;C The Ultimate Collection (Steam/EA app)</x:v>
      </x:c>
      <x:c r="AK684" s="9" t="str">
        <x:v>MobyGames DOS/Windows score not visible in search results (no snippets); left blank. PriceCharting PC price not fetched: the shared WebFetch budget was exhausted for this batch; price null (re-run price pull).</x:v>
      </x:c>
      <x:c r="AL684" s="10" t="n">
        <x:v>10</x:v>
      </x:c>
      <x:c r="AM684" s="10" t="n">
        <x:v>49.34</x:v>
      </x:c>
      <x:c r="AN684" s="10" t="n">
        <x:v>114.46</x:v>
      </x:c>
      <x:c r="AO684" s="9" t="str">
        <x:v>2026-10-24</x:v>
      </x:c>
      <x:c r="AP684" s="11" t="str">
        <x:f>HYPERLINK("https://www.pricecharting.com/game/pc-games/command-&amp;amp;-conquer-red-alert-2","PriceCharting")</x:f>
        <x:v>PriceCharting</x:v>
      </x:c>
      <x:c r="AQ684" s="9"/>
      <x:c r="AR684" s="9"/>
      <x:c r="AS684" s="9"/>
      <x:c r="AT684" s="9"/>
      <x:c r="AU684" s="9"/>
      <x:c r="AV684" s="9"/>
      <x:c r="AW684" s="9"/>
      <x:c r="AX684" s="9"/>
      <x:c r="AY684" s="9"/>
      <x:c r="AZ684" s="9"/>
      <x:c r="BA684" s="11" t="str">
        <x:f>HYPERLINK("https://www.mobygames.com/game/2544/command-conquer-red-alert-2/","MobyGames")</x:f>
        <x:v>MobyGames</x:v>
      </x:c>
      <x:c r="BB684" s="9" t="str">
        <x:v>86%</x:v>
      </x:c>
      <x:c r="BC684" s="9" t="str">
        <x:v>average of 4 reviews on Wikipedia (GSpot, GamePro, IGN, NGen)</x:v>
      </x:c>
      <x:c r="BD684" s="9" t="str">
        <x:f>HYPERLINK("https://en.wikipedia.org/wiki/Command_%26_Conquer%3A_Red_Alert_2","Source")</x:f>
        <x:v>Source</x:v>
      </x:c>
      <x:c r="BE684" s="11" t="str">
        <x:f>HYPERLINK("https://en.wikipedia.org/wiki/Command_%26_Conquer:_Red_Alert_2","Wikipedia")</x:f>
        <x:v>Wikipedia</x:v>
      </x:c>
      <x:c r="BF684" s="11" t="str">
        <x:f>HYPERLINK("https://backloggd.com/search/games/Command%20%26%20Conquer%3A%20Red%20Alert%202/","Backloggd")</x:f>
        <x:v>Backloggd</x:v>
      </x:c>
      <x:c r="BG684" s="9"/>
      <x:c r="BH684" s="9"/>
      <x:c r="BI684" s="12" t="str">
        <x:v>No</x:v>
      </x:c>
      <x:c r="BJ684" s="12" t="str"/>
      <x:c r="BK684" s="12" t="str">
        <x:v>No</x:v>
      </x:c>
      <x:c r="BL684" s="12" t="str"/>
      <x:c r="BM684" s="12" t="str"/>
      <x:c r="BN684" s="12" t="str"/>
      <x:c r="BO684" s="12" t="str"/>
      <x:c r="BP684" s="12" t="str"/>
      <x:c r="BQ684" s="12" t="str"/>
    </x:row>
    <x:row r="685">
      <x:c r="A685" s="9" t="str">
        <x:v>pc-155</x:v>
      </x:c>
      <x:c r="B685" s="9" t="str">
        <x:v>dune</x:v>
      </x:c>
      <x:c r="C685" s="9" t="str">
        <x:v>PC</x:v>
      </x:c>
      <x:c r="D685" s="9" t="str">
        <x:v>Dune</x:v>
      </x:c>
      <x:c r="E685" s="9" t="str">
        <x:v>Dune (CD-ROM edition)</x:v>
      </x:c>
      <x:c r="F685" s="9" t="str">
        <x:v>Cryo Interactive</x:v>
      </x:c>
      <x:c r="G685" s="9" t="str">
        <x:v>Virgin Games</x:v>
      </x:c>
      <x:c r="H685" s="9" t="n">
        <x:v>1993</x:v>
      </x:c>
      <x:c r="I685" s="9" t="str">
        <x:v>Yes</x:v>
      </x:c>
      <x:c r="J685" s="9" t="str">
        <x:v>No</x:v>
      </x:c>
      <x:c r="K685" s="9" t="str">
        <x:v>Yes</x:v>
      </x:c>
      <x:c r="L685" s="9" t="str">
        <x:v>No</x:v>
      </x:c>
      <x:c r="M685" s="9" t="str">
        <x:v>Adventure / strategy</x:v>
      </x:c>
      <x:c r="N685" s="9" t="str">
        <x:v>Live-action + pre-rendered CG</x:v>
      </x:c>
      <x:c r="O685" s="9" t="n">
        <x:v>3</x:v>
      </x:c>
      <x:c r="P685" s="9" t="str">
        <x:v>Cutscenes only</x:v>
      </x:c>
      <x:c r="Q685" s="9" t="str">
        <x:v>Released</x:v>
      </x:c>
      <x:c r="R685" s="9" t="str">
        <x:v>Frank Herbert novel; CD edition adds clips of David Lynch's 1984 film</x:v>
      </x:c>
      <x:c r="S685" s="9" t="str">
        <x:v>Amiga, Sega CD; floppy DOS (1992, no video)</x:v>
      </x:c>
      <x:c r="T685" s="9" t="str">
        <x:v>Kyle MacLachlan, Sting, Francesca Annis and others (film clips)</x:v>
      </x:c>
      <x:c r="U685" s="9" t="n">
        <x:v>1</x:v>
      </x:c>
      <x:c r="V685" s="9" t="str">
        <x:v>Yes</x:v>
      </x:c>
      <x:c r="W685" s="9" t="str">
        <x:v>386/25, 4 MB RAM, 1x CD-ROM, VGA; DOS</x:v>
      </x:c>
      <x:c r="X685" s="9" t="str">
        <x:v>Med–High</x:v>
      </x:c>
      <x:c r="Y685" s="9" t="str">
        <x:v>Clips from the 1984 Dune film</x:v>
      </x:c>
      <x:c r="Z685" s="9" t="str">
        <x:v>4–6 hr</x:v>
      </x:c>
      <x:c r="AA685" s="9" t="str">
        <x:v>Cryo's debut mixes desert strategy with clips of Lynch's film and fly-over CG of Arrakis.</x:v>
      </x:c>
      <x:c r="AB685" s="9" t="str">
        <x:v>None known</x:v>
      </x:c>
      <x:c r="AC685" s="9" t="str">
        <x:v>Film clips in a small window, about 10 fps</x:v>
      </x:c>
      <x:c r="AD685" s="9" t="str">
        <x:v>Easy to moderate; spice deadlines push the pace</x:v>
      </x:c>
      <x:c r="AE685" s="9" t="str">
        <x:v>Single ending</x:v>
      </x:c>
      <x:c r="AF685" s="9" t="str">
        <x:v>The 1992 floppy release has no video; Virgin added the film clips, voices and CG for the 1993 CD edition.</x:v>
      </x:c>
      <x:c r="AG685" s="9" t="str">
        <x:v>Floppy (1992, no FMV) vs CD-ROM (1993); Dune / Dune II Double Pack (1995)</x:v>
      </x:c>
      <x:c r="AH685" s="9" t="str">
        <x:v>No</x:v>
      </x:c>
      <x:c r="AI685" s="9" t="str">
        <x:v>Easy</x:v>
      </x:c>
      <x:c r="AJ685" s="9" t="str">
        <x:v>Original discs in DOSBox</x:v>
      </x:c>
      <x:c r="AK685" s="9" t="str">
        <x:v>Year is the CD-ROM edition (1993); floppy original 1992 has no streamed video. MobyGames DOS/Windows score not visible in search results (no snippets); left blank. PriceCharting PC price not fetched: the shared WebFetch budget was exhausted for this batch; price null (re-run price pull).</x:v>
      </x:c>
      <x:c r="AL685" s="10"/>
      <x:c r="AM685" s="10" t="n">
        <x:v>292.91</x:v>
      </x:c>
      <x:c r="AN685" s="10" t="n">
        <x:v>586</x:v>
      </x:c>
      <x:c r="AO685" s="9" t="str">
        <x:v>2026-10-24</x:v>
      </x:c>
      <x:c r="AP685" s="11" t="str">
        <x:f>HYPERLINK("https://www.pricecharting.com/game/pc-games/dune-cd-rom-release","PriceCharting")</x:f>
        <x:v>PriceCharting</x:v>
      </x:c>
      <x:c r="AQ685" s="9"/>
      <x:c r="AR685" s="9"/>
      <x:c r="AS685" s="9"/>
      <x:c r="AT685" s="9"/>
      <x:c r="AU685" s="9"/>
      <x:c r="AV685" s="9"/>
      <x:c r="AW685" s="9"/>
      <x:c r="AX685" s="9"/>
      <x:c r="AY685" s="9"/>
      <x:c r="AZ685" s="9"/>
      <x:c r="BA685" s="11" t="str">
        <x:f>HYPERLINK("https://www.mobygames.com/game/380/dune/","MobyGames")</x:f>
        <x:v>MobyGames</x:v>
      </x:c>
      <x:c r="BB685" s="9" t="str">
        <x:v>80%</x:v>
      </x:c>
      <x:c r="BC685" s="9" t="str">
        <x:v>GameRankings, 1 review</x:v>
      </x:c>
      <x:c r="BD685" s="9" t="str">
        <x:f>HYPERLINK("https://web.archive.org/web/20191209011545id_/https://www.gamerankings.com/pc/564692-dune/","Source")</x:f>
        <x:v>Source</x:v>
      </x:c>
      <x:c r="BE685" s="11" t="str">
        <x:f>HYPERLINK("https://en.wikipedia.org/wiki/Dune_(video_game)","Wikipedia")</x:f>
        <x:v>Wikipedia</x:v>
      </x:c>
      <x:c r="BF685" s="11" t="str">
        <x:f>HYPERLINK("https://backloggd.com/search/games/Dune/","Backloggd")</x:f>
        <x:v>Backloggd</x:v>
      </x:c>
      <x:c r="BG685" s="9"/>
      <x:c r="BH685" s="9"/>
      <x:c r="BI685" s="12" t="str">
        <x:v>No</x:v>
      </x:c>
      <x:c r="BJ685" s="12" t="str"/>
      <x:c r="BK685" s="12" t="str">
        <x:v>No</x:v>
      </x:c>
      <x:c r="BL685" s="12" t="str"/>
      <x:c r="BM685" s="12" t="str"/>
      <x:c r="BN685" s="12" t="str"/>
      <x:c r="BO685" s="12" t="str"/>
      <x:c r="BP685" s="12" t="str"/>
      <x:c r="BQ685" s="12" t="str"/>
    </x:row>
    <x:row r="686">
      <x:c r="A686" s="9" t="str">
        <x:v>pc-156</x:v>
      </x:c>
      <x:c r="B686" s="9" t="str">
        <x:v>dune-2000</x:v>
      </x:c>
      <x:c r="C686" s="9" t="str">
        <x:v>PC</x:v>
      </x:c>
      <x:c r="D686" s="9" t="str">
        <x:v>Dune 2000</x:v>
      </x:c>
      <x:c r="E686" s="9" t="str"/>
      <x:c r="F686" s="9" t="str">
        <x:v>Intelligent Games / Westwood Studios</x:v>
      </x:c>
      <x:c r="G686" s="9" t="str">
        <x:v>Westwood Studios (NA); Virgin Interactive (EU)</x:v>
      </x:c>
      <x:c r="H686" s="9" t="n">
        <x:v>1998</x:v>
      </x:c>
      <x:c r="I686" s="9" t="str">
        <x:v>Yes</x:v>
      </x:c>
      <x:c r="J686" s="9" t="str">
        <x:v>Yes</x:v>
      </x:c>
      <x:c r="K686" s="9" t="str">
        <x:v>Yes</x:v>
      </x:c>
      <x:c r="L686" s="9" t="str">
        <x:v>No</x:v>
      </x:c>
      <x:c r="M686" s="9" t="str">
        <x:v>Real-time strategy</x:v>
      </x:c>
      <x:c r="N686" s="9" t="str">
        <x:v>Live-action + CG</x:v>
      </x:c>
      <x:c r="O686" s="9" t="n">
        <x:v>3</x:v>
      </x:c>
      <x:c r="P686" s="9" t="str">
        <x:v>Cutscenes only</x:v>
      </x:c>
      <x:c r="Q686" s="9" t="str">
        <x:v>Released</x:v>
      </x:c>
      <x:c r="R686" s="9" t="str">
        <x:v>Remake of Dune II (1992)</x:v>
      </x:c>
      <x:c r="S686" s="9" t="str">
        <x:v>PlayStation (1999)</x:v>
      </x:c>
      <x:c r="T686" s="9" t="str">
        <x:v>John Rhys-Davies (Noree Moneo), Musetta Vander (Lady Elara), Adrian Sparks (Emperor Corrino), Robert Carin (Hayt De Vries)</x:v>
      </x:c>
      <x:c r="U686" s="9" t="n">
        <x:v>1</x:v>
      </x:c>
      <x:c r="V686" s="9" t="str">
        <x:v>Yes</x:v>
      </x:c>
      <x:c r="W686" s="9" t="str">
        <x:v>Pentium 133, 32 MB RAM, 4x CD-ROM; Win95/98</x:v>
      </x:c>
      <x:c r="X686" s="9" t="str">
        <x:v>Low</x:v>
      </x:c>
      <x:c r="Y686" s="9" t="str"/>
      <x:c r="Z686" s="9" t="str">
        <x:v>12–20 hr</x:v>
      </x:c>
      <x:c r="AA686" s="9" t="str">
        <x:v>Live-action Atreides, Harkonnen and Ordos briefings with John Rhys-Davies, built on the Red Alert engine.</x:v>
      </x:c>
      <x:c r="AB686" s="9" t="str">
        <x:v>None known</x:v>
      </x:c>
      <x:c r="AC686" s="9" t="str">
        <x:v>Live-action briefings on practical/CG sets, about 15 fps (verify)</x:v>
      </x:c>
      <x:c r="AD686" s="9" t="str">
        <x:v>Moderate</x:v>
      </x:c>
      <x:c r="AE686" s="9" t="str">
        <x:v>Three house campaigns, each with its own ending</x:v>
      </x:c>
      <x:c r="AF686" s="9" t="str">
        <x:v>Built by Intelligent Games on the Red Alert engine as a remake of Westwood's Dune II.</x:v>
      </x:c>
      <x:c r="AG686" s="9" t="str">
        <x:v>Standard box; Ultimate Sci-Fi Series bundle (2000)</x:v>
      </x:c>
      <x:c r="AH686" s="9" t="str">
        <x:v>No</x:v>
      </x:c>
      <x:c r="AI686" s="9" t="str">
        <x:v>Easy</x:v>
      </x:c>
      <x:c r="AJ686" s="9" t="str">
        <x:v>Original discs in DOSBox</x:v>
      </x:c>
      <x:c r="AK686" s="9" t="str">
        <x:v>MobyGames DOS/Windows score not visible in search results (no snippets); left blank. PriceCharting PC price not fetched: the shared WebFetch budget was exhausted for this batch; price null (re-run price pull).</x:v>
      </x:c>
      <x:c r="AL686" s="10" t="n">
        <x:v>9.56</x:v>
      </x:c>
      <x:c r="AM686" s="10" t="n">
        <x:v>28.32</x:v>
      </x:c>
      <x:c r="AN686" s="10" t="n">
        <x:v>38.25</x:v>
      </x:c>
      <x:c r="AO686" s="9" t="str">
        <x:v>2026-10-24</x:v>
      </x:c>
      <x:c r="AP686" s="11" t="str">
        <x:f>HYPERLINK("https://www.pricecharting.com/game/pc-games/dune-2000","PriceCharting")</x:f>
        <x:v>PriceCharting</x:v>
      </x:c>
      <x:c r="AQ686" s="9"/>
      <x:c r="AR686" s="9"/>
      <x:c r="AS686" s="9"/>
      <x:c r="AT686" s="9"/>
      <x:c r="AU686" s="9"/>
      <x:c r="AV686" s="9"/>
      <x:c r="AW686" s="9"/>
      <x:c r="AX686" s="9"/>
      <x:c r="AY686" s="9" t="str">
        <x:v>69%</x:v>
      </x:c>
      <x:c r="AZ686" s="9" t="str">
        <x:v>3.5</x:v>
      </x:c>
      <x:c r="BA686" s="11" t="str">
        <x:f>HYPERLINK("https://www.mobygames.com/game/windows/dune-2000","MobyGames")</x:f>
        <x:v>MobyGames</x:v>
      </x:c>
      <x:c r="BB686" s="9"/>
      <x:c r="BC686" s="9"/>
      <x:c r="BD686" s="9"/>
      <x:c r="BE686" s="11" t="str">
        <x:f>HYPERLINK("https://en.wikipedia.org/wiki/Dune_2000","Wikipedia")</x:f>
        <x:v>Wikipedia</x:v>
      </x:c>
      <x:c r="BF686" s="11" t="str">
        <x:f>HYPERLINK("https://backloggd.com/search/games/Dune%202000/","Backloggd")</x:f>
        <x:v>Backloggd</x:v>
      </x:c>
      <x:c r="BG686" s="9"/>
      <x:c r="BH686" s="9"/>
      <x:c r="BI686" s="12" t="str">
        <x:v>No</x:v>
      </x:c>
      <x:c r="BJ686" s="12" t="str"/>
      <x:c r="BK686" s="12" t="str">
        <x:v>No</x:v>
      </x:c>
      <x:c r="BL686" s="12" t="str"/>
      <x:c r="BM686" s="12" t="str"/>
      <x:c r="BN686" s="12" t="str"/>
      <x:c r="BO686" s="12" t="str"/>
      <x:c r="BP686" s="12" t="str"/>
      <x:c r="BQ686" s="12" t="str"/>
    </x:row>
    <x:row r="687">
      <x:c r="A687" s="9" t="str">
        <x:v>pc-157</x:v>
      </x:c>
      <x:c r="B687" s="9" t="str">
        <x:v>lands-of-lore-guardians-of-destiny</x:v>
      </x:c>
      <x:c r="C687" s="9" t="str">
        <x:v>PC</x:v>
      </x:c>
      <x:c r="D687" s="9" t="str">
        <x:v>Lands of Lore: Guardians of Destiny</x:v>
      </x:c>
      <x:c r="E687" s="9" t="str"/>
      <x:c r="F687" s="9" t="str">
        <x:v>Westwood Studios</x:v>
      </x:c>
      <x:c r="G687" s="9" t="str">
        <x:v>Virgin Interactive</x:v>
      </x:c>
      <x:c r="H687" s="9" t="n">
        <x:v>1997</x:v>
      </x:c>
      <x:c r="I687" s="9" t="str">
        <x:v>Yes</x:v>
      </x:c>
      <x:c r="J687" s="9" t="str">
        <x:v>No</x:v>
      </x:c>
      <x:c r="K687" s="9" t="str">
        <x:v>Yes</x:v>
      </x:c>
      <x:c r="L687" s="9" t="str">
        <x:v>No</x:v>
      </x:c>
      <x:c r="M687" s="9" t="str">
        <x:v>Action RPG</x:v>
      </x:c>
      <x:c r="N687" s="9" t="str">
        <x:v>Live-action + CG</x:v>
      </x:c>
      <x:c r="O687" s="9" t="n">
        <x:v>4</x:v>
      </x:c>
      <x:c r="P687" s="9" t="str">
        <x:v>FMV adventure</x:v>
      </x:c>
      <x:c r="Q687" s="9" t="str">
        <x:v>Released</x:v>
      </x:c>
      <x:c r="R687" s="9" t="str">
        <x:v>PC original; sequel to Lands of Lore (1993)</x:v>
      </x:c>
      <x:c r="S687" s="9" t="str">
        <x:v>—</x:v>
      </x:c>
      <x:c r="T687" s="9" t="str">
        <x:v>Luther and supporting cast filmed on blue screen (actor names verify)</x:v>
      </x:c>
      <x:c r="U687" s="9" t="n">
        <x:v>4</x:v>
      </x:c>
      <x:c r="V687" s="9" t="str">
        <x:v>Yes</x:v>
      </x:c>
      <x:c r="W687" s="9" t="str">
        <x:v>Pentium 90, 16 MB RAM, 2x CD-ROM, SVGA; DOS &amp; Win95</x:v>
      </x:c>
      <x:c r="X687" s="9" t="str">
        <x:v>Low</x:v>
      </x:c>
      <x:c r="Y687" s="9" t="str"/>
      <x:c r="Z687" s="9" t="str">
        <x:v>20–30 hr</x:v>
      </x:c>
      <x:c r="AA687" s="9" t="str">
        <x:v>Westwood's four-disc RPG where cursed hero Luther morphs between man, beast and lizard in live-action cutscenes.</x:v>
      </x:c>
      <x:c r="AB687" s="9" t="str">
        <x:v>None known</x:v>
      </x:c>
      <x:c r="AC687" s="9" t="str">
        <x:v>Live actors composited into CG, VQA about 320x200 to 640 (verify), 15 fps</x:v>
      </x:c>
      <x:c r="AD687" s="9" t="str">
        <x:v>Moderate; clunky combat</x:v>
      </x:c>
      <x:c r="AE687" s="9" t="str">
        <x:v>Choices across the game shape Luther's good or evil path and ending (verify)</x:v>
      </x:c>
      <x:c r="AF687" s="9" t="str">
        <x:v>The game shipped on four CDs, mostly because of its live-action video (verify).</x:v>
      </x:c>
      <x:c r="AG687" s="9" t="str">
        <x:v>4-CD big box; jewel-case reissues</x:v>
      </x:c>
      <x:c r="AH687" s="9" t="str">
        <x:v>Yes (GOG) (verify)</x:v>
      </x:c>
      <x:c r="AI687" s="9" t="str">
        <x:v>Easy</x:v>
      </x:c>
      <x:c r="AJ687" s="9" t="str">
        <x:v>GOG re-release (verify) or original discs in DOSBox</x:v>
      </x:c>
      <x:c r="AK687" s="9" t="str">
        <x:v>MobyGames DOS/Windows score not visible in search results (no snippets); left blank. PriceCharting PC price not fetched: the shared WebFetch budget was exhausted for this batch; price null (re-run price pull).</x:v>
      </x:c>
      <x:c r="AL687" s="10" t="n">
        <x:v>8.45</x:v>
      </x:c>
      <x:c r="AM687" s="10" t="n">
        <x:v>20.37</x:v>
      </x:c>
      <x:c r="AN687" s="10" t="n">
        <x:v>24.98</x:v>
      </x:c>
      <x:c r="AO687" s="9" t="str">
        <x:v>2026-10-24</x:v>
      </x:c>
      <x:c r="AP687" s="11" t="str">
        <x:f>HYPERLINK("https://www.pricecharting.com/game/pc-games/lands-of-lore-guardians-of-destiny","PriceCharting")</x:f>
        <x:v>PriceCharting</x:v>
      </x:c>
      <x:c r="AQ687" s="9"/>
      <x:c r="AR687" s="9"/>
      <x:c r="AS687" s="9"/>
      <x:c r="AT687" s="9"/>
      <x:c r="AU687" s="9"/>
      <x:c r="AV687" s="9"/>
      <x:c r="AW687" s="9"/>
      <x:c r="AX687" s="9"/>
      <x:c r="AY687" s="9" t="str">
        <x:v>85%</x:v>
      </x:c>
      <x:c r="AZ687" s="9" t="str">
        <x:v>3.2</x:v>
      </x:c>
      <x:c r="BA687" s="11" t="str">
        <x:f>HYPERLINK("https://www.mobygames.com/game/dos/lands-of-lore-guardians-of-destiny","MobyGames")</x:f>
        <x:v>MobyGames</x:v>
      </x:c>
      <x:c r="BB687" s="9"/>
      <x:c r="BC687" s="9"/>
      <x:c r="BD687" s="9"/>
      <x:c r="BE687" s="11" t="str">
        <x:f>HYPERLINK("https://en.wikipedia.org/wiki/Lands_of_Lore:_Guardians_of_Destiny","Wikipedia")</x:f>
        <x:v>Wikipedia</x:v>
      </x:c>
      <x:c r="BF687" s="11" t="str">
        <x:f>HYPERLINK("https://backloggd.com/search/games/Lands%20of%20Lore%3A%20Guardians%20of%20Destiny/","Backloggd")</x:f>
        <x:v>Backloggd</x:v>
      </x:c>
      <x:c r="BG687" s="9"/>
      <x:c r="BH687" s="9"/>
      <x:c r="BI687" s="12" t="str">
        <x:v>No</x:v>
      </x:c>
      <x:c r="BJ687" s="12" t="str"/>
      <x:c r="BK687" s="12" t="str">
        <x:v>No</x:v>
      </x:c>
      <x:c r="BL687" s="12" t="str"/>
      <x:c r="BM687" s="12" t="str"/>
      <x:c r="BN687" s="12" t="str"/>
      <x:c r="BO687" s="12" t="str"/>
      <x:c r="BP687" s="12" t="str"/>
      <x:c r="BQ687" s="12" t="str"/>
    </x:row>
    <x:row r="688">
      <x:c r="A688" s="9" t="str">
        <x:v>pc-158</x:v>
      </x:c>
      <x:c r="B688" s="9" t="str">
        <x:v>blade-runner</x:v>
      </x:c>
      <x:c r="C688" s="9" t="str">
        <x:v>PC</x:v>
      </x:c>
      <x:c r="D688" s="9" t="str">
        <x:v>Blade Runner</x:v>
      </x:c>
      <x:c r="E688" s="9" t="str"/>
      <x:c r="F688" s="9" t="str">
        <x:v>Westwood Studios</x:v>
      </x:c>
      <x:c r="G688" s="9" t="str">
        <x:v>Virgin Interactive</x:v>
      </x:c>
      <x:c r="H688" s="9" t="n">
        <x:v>1997</x:v>
      </x:c>
      <x:c r="I688" s="9" t="str">
        <x:v>Yes</x:v>
      </x:c>
      <x:c r="J688" s="9" t="str">
        <x:v>No</x:v>
      </x:c>
      <x:c r="K688" s="9" t="str">
        <x:v>Yes</x:v>
      </x:c>
      <x:c r="L688" s="9" t="str">
        <x:v>No</x:v>
      </x:c>
      <x:c r="M688" s="9" t="str">
        <x:v>Point-and-click adventure</x:v>
      </x:c>
      <x:c r="N688" s="9" t="str">
        <x:v>Pre-rendered CG</x:v>
      </x:c>
      <x:c r="O688" s="9" t="n">
        <x:v>5</x:v>
      </x:c>
      <x:c r="P688" s="9" t="str">
        <x:v>FMV adventure</x:v>
      </x:c>
      <x:c r="Q688" s="9" t="str">
        <x:v>Released</x:v>
      </x:c>
      <x:c r="R688" s="9" t="str">
        <x:v>Licensed from the 1982 film (not a retelling)</x:v>
      </x:c>
      <x:c r="S688" s="9" t="str">
        <x:v>—</x:v>
      </x:c>
      <x:c r="T688" s="9" t="str">
        <x:v>Mark Benninghoffen (McCoy); Sean Young, James Hong, Joe Turkel, Brion James, William Sanderson reprise film roles (voice/likeness)</x:v>
      </x:c>
      <x:c r="U688" s="9" t="n">
        <x:v>4</x:v>
      </x:c>
      <x:c r="V688" s="9" t="str">
        <x:v>Yes</x:v>
      </x:c>
      <x:c r="W688" s="9" t="str">
        <x:v>Pentium 90, 16 MB RAM (32 rec.), 4x CD-ROM; Win95</x:v>
      </x:c>
      <x:c r="X688" s="9" t="str">
        <x:v>Low–Med</x:v>
      </x:c>
      <x:c r="Y688" s="9" t="str">
        <x:v>Score imitates the Vangelis film soundtrack (verify)</x:v>
      </x:c>
      <x:c r="Z688" s="9" t="str">
        <x:v>6–10 hr</x:v>
      </x:c>
      <x:c r="AA688" s="9" t="str">
        <x:v>Westwood's real-time adventure in the film's Los Angeles, with voxel actors walking through streamed CG cityscapes.</x:v>
      </x:c>
      <x:c r="AB688" s="9" t="str">
        <x:v>None known</x:v>
      </x:c>
      <x:c r="AC688" s="9" t="str">
        <x:v>Pre-rendered CG backgrounds animated as video loops plus CG cutscenes, 640x480 (verify)</x:v>
      </x:c>
      <x:c r="AD688" s="9" t="str">
        <x:v>Easy; clues can be missed</x:v>
      </x:c>
      <x:c r="AE688" s="9" t="str">
        <x:v>Multiple endings, set by randomised replicant suspects and McCoy's choices (count verify)</x:v>
      </x:c>
      <x:c r="AF688" s="9" t="str">
        <x:v>Each new game randomly assigns which suspects are replicants, so playthroughs differ.</x:v>
      </x:c>
      <x:c r="AG688" s="9" t="str">
        <x:v>4-CD box; jewel-case reissue</x:v>
      </x:c>
      <x:c r="AH688" s="9" t="str">
        <x:v>Yes (Blade Runner: Enhanced Edition 2022 on Steam/GOG; original on GOG via ScummVM)</x:v>
      </x:c>
      <x:c r="AI688" s="9" t="str">
        <x:v>Easy</x:v>
      </x:c>
      <x:c r="AJ688" s="9" t="str">
        <x:v>GOG (original, ScummVM-based) or Enhanced Edition (Steam/GOG)</x:v>
      </x:c>
      <x:c r="AK688" s="9" t="str">
        <x:v>MobyGames DOS/Windows score not visible in search results (no snippets); left blank. PriceCharting PC price not fetched: the shared WebFetch budget was exhausted for this batch; price null (re-run price pull).</x:v>
      </x:c>
      <x:c r="AL688" s="10" t="n">
        <x:v>9.99</x:v>
      </x:c>
      <x:c r="AM688" s="10" t="n">
        <x:v>39.37</x:v>
      </x:c>
      <x:c r="AN688" s="10" t="n">
        <x:v>72</x:v>
      </x:c>
      <x:c r="AO688" s="9" t="str">
        <x:v>2026-10-24</x:v>
      </x:c>
      <x:c r="AP688" s="11" t="str">
        <x:f>HYPERLINK("https://www.pricecharting.com/game/pc-games/blade-runner","PriceCharting")</x:f>
        <x:v>PriceCharting</x:v>
      </x:c>
      <x:c r="AQ688" s="9" t="n">
        <x:v>6.49</x:v>
      </x:c>
      <x:c r="AR688" s="11" t="str">
        <x:v>GOG</x:v>
      </x:c>
      <x:c r="AS688" s="9" t="str">
        <x:f>HYPERLINK("https://www.gog.com/en/game/blade_runner","Store")</x:f>
        <x:v>Store</x:v>
      </x:c>
      <x:c r="AT688" s="9" t="str">
        <x:v>2026-10-24</x:v>
      </x:c>
      <x:c r="AU688" s="9"/>
      <x:c r="AV688" s="9"/>
      <x:c r="AW688" s="9"/>
      <x:c r="AX688" s="9"/>
      <x:c r="AY688" s="9"/>
      <x:c r="AZ688" s="9"/>
      <x:c r="BA688" s="11" t="str">
        <x:f>HYPERLINK("https://www.mobygames.com/game/341/blade-runner/","MobyGames")</x:f>
        <x:v>MobyGames</x:v>
      </x:c>
      <x:c r="BB688" s="9" t="str">
        <x:v>77%</x:v>
      </x:c>
      <x:c r="BC688" s="9" t="str">
        <x:v>GameRankings, 16 reviews</x:v>
      </x:c>
      <x:c r="BD688" s="9" t="str">
        <x:f>HYPERLINK("https://web.archive.org/web/20191209013524id_/https://www.gamerankings.com/pc/196769-blade-runner/","Source")</x:f>
        <x:v>Source</x:v>
      </x:c>
      <x:c r="BE688" s="11" t="str">
        <x:f>HYPERLINK("https://en.wikipedia.org/wiki/Blade_Runner_(1997_video_game)","Wikipedia")</x:f>
        <x:v>Wikipedia</x:v>
      </x:c>
      <x:c r="BF688" s="11" t="str">
        <x:f>HYPERLINK("https://backloggd.com/search/games/Blade%20Runner/","Backloggd")</x:f>
        <x:v>Backloggd</x:v>
      </x:c>
      <x:c r="BG688" s="9"/>
      <x:c r="BH688" s="9"/>
      <x:c r="BI688" s="12" t="str">
        <x:v>No</x:v>
      </x:c>
      <x:c r="BJ688" s="12" t="str"/>
      <x:c r="BK688" s="12" t="str">
        <x:v>No</x:v>
      </x:c>
      <x:c r="BL688" s="12" t="str"/>
      <x:c r="BM688" s="12" t="str"/>
      <x:c r="BN688" s="12" t="str"/>
      <x:c r="BO688" s="12" t="str"/>
      <x:c r="BP688" s="12" t="str"/>
      <x:c r="BQ688" s="12" t="str"/>
    </x:row>
    <x:row r="689">
      <x:c r="A689" s="9" t="str">
        <x:v>pc-159</x:v>
      </x:c>
      <x:c r="B689" s="9" t="str">
        <x:v>crusader-no-remorse</x:v>
      </x:c>
      <x:c r="C689" s="9" t="str">
        <x:v>PC</x:v>
      </x:c>
      <x:c r="D689" s="9" t="str">
        <x:v>Crusader: No Remorse</x:v>
      </x:c>
      <x:c r="E689" s="9" t="str"/>
      <x:c r="F689" s="9" t="str">
        <x:v>Origin Systems</x:v>
      </x:c>
      <x:c r="G689" s="9" t="str">
        <x:v>Electronic Arts / Origin</x:v>
      </x:c>
      <x:c r="H689" s="9" t="n">
        <x:v>1995</x:v>
      </x:c>
      <x:c r="I689" s="9" t="str">
        <x:v>Yes</x:v>
      </x:c>
      <x:c r="J689" s="9" t="str">
        <x:v>No</x:v>
      </x:c>
      <x:c r="K689" s="9" t="str">
        <x:v>Yes</x:v>
      </x:c>
      <x:c r="L689" s="9" t="str">
        <x:v>No</x:v>
      </x:c>
      <x:c r="M689" s="9" t="str">
        <x:v>Isometric action</x:v>
      </x:c>
      <x:c r="N689" s="9" t="str">
        <x:v>Live-action</x:v>
      </x:c>
      <x:c r="O689" s="9" t="n">
        <x:v>2</x:v>
      </x:c>
      <x:c r="P689" s="9" t="str">
        <x:v>Cutscenes only</x:v>
      </x:c>
      <x:c r="Q689" s="9" t="str">
        <x:v>Released</x:v>
      </x:c>
      <x:c r="R689" s="9" t="str">
        <x:v>PC original (1995)</x:v>
      </x:c>
      <x:c r="S689" s="9" t="str">
        <x:v>PlayStation, Saturn</x:v>
      </x:c>
      <x:c r="T689" s="9" t="str">
        <x:v>Live-action Resistance and WEC cast (names verify); Silencer never speaks</x:v>
      </x:c>
      <x:c r="U689" s="9" t="n">
        <x:v>1</x:v>
      </x:c>
      <x:c r="V689" s="9" t="str">
        <x:v>Yes</x:v>
      </x:c>
      <x:c r="W689" s="9" t="str">
        <x:v>486DX2/66, 8 MB RAM, 2x CD-ROM, SVGA; DOS</x:v>
      </x:c>
      <x:c r="X689" s="9" t="str">
        <x:v>Low</x:v>
      </x:c>
      <x:c r="Y689" s="9" t="str"/>
      <x:c r="Z689" s="9" t="str">
        <x:v>10–15 hr</x:v>
      </x:c>
      <x:c r="AA689" s="9" t="str">
        <x:v>Grim live-action Resistance briefings with an all-in cast frame the explosive isometric shooting.</x:v>
      </x:c>
      <x:c r="AB689" s="9" t="str">
        <x:v>Cheat mode (Jassica16 at startup) (verify)</x:v>
      </x:c>
      <x:c r="AC689" s="9" t="str">
        <x:v>Live-action cutscenes, about 320x200 interlaced (verify)</x:v>
      </x:c>
      <x:c r="AD689" s="9" t="str">
        <x:v>Hard</x:v>
      </x:c>
      <x:c r="AE689" s="9" t="str">
        <x:v>Single ending</x:v>
      </x:c>
      <x:c r="AF689" s="9" t="str">
        <x:v>Its live-action cutscenes were shot at Origin in Austin (verify).</x:v>
      </x:c>
      <x:c r="AG689" s="9" t="str">
        <x:v>Big box; jewel case; Crusader bundle</x:v>
      </x:c>
      <x:c r="AH689" s="9" t="str">
        <x:v>Yes (GOG, Steam)</x:v>
      </x:c>
      <x:c r="AI689" s="9" t="str">
        <x:v>Easy</x:v>
      </x:c>
      <x:c r="AJ689" s="9" t="str">
        <x:v>GOG/Steam (DOSBox)</x:v>
      </x:c>
      <x:c r="AK689" s="9" t="str">
        <x:v>MobyGames DOS/Windows score not visible in search results (no snippets); left blank. PriceCharting PC price not fetched: the shared WebFetch budget was exhausted for this batch; price null (re-run price pull).</x:v>
      </x:c>
      <x:c r="AL689" s="10" t="n">
        <x:v>9.96</x:v>
      </x:c>
      <x:c r="AM689" s="10" t="n">
        <x:v>49.99</x:v>
      </x:c>
      <x:c r="AN689" s="10" t="n">
        <x:v>100</x:v>
      </x:c>
      <x:c r="AO689" s="9" t="str">
        <x:v>2026-10-24</x:v>
      </x:c>
      <x:c r="AP689" s="11" t="str">
        <x:f>HYPERLINK("https://www.pricecharting.com/game/pc-games/crusader-no-remorse","PriceCharting")</x:f>
        <x:v>PriceCharting</x:v>
      </x:c>
      <x:c r="AQ689" s="9" t="n">
        <x:v>5.99</x:v>
      </x:c>
      <x:c r="AR689" s="11" t="str">
        <x:v>GOG</x:v>
      </x:c>
      <x:c r="AS689" s="9" t="str">
        <x:f>HYPERLINK("https://www.gog.com/en/game/crusader_no_remorse","Store")</x:f>
        <x:v>Store</x:v>
      </x:c>
      <x:c r="AT689" s="9" t="str">
        <x:v>2026-10-24</x:v>
      </x:c>
      <x:c r="AU689" s="9"/>
      <x:c r="AV689" s="9"/>
      <x:c r="AW689" s="9"/>
      <x:c r="AX689" s="9"/>
      <x:c r="AY689" s="9"/>
      <x:c r="AZ689" s="9"/>
      <x:c r="BA689" s="11" t="str">
        <x:f>HYPERLINK("https://www.mobygames.com/game/851/crusader-no-remorse/","MobyGames")</x:f>
        <x:v>MobyGames</x:v>
      </x:c>
      <x:c r="BB689" s="9" t="str">
        <x:v>84%</x:v>
      </x:c>
      <x:c r="BC689" s="9" t="str">
        <x:v>GameRankings, 1 review</x:v>
      </x:c>
      <x:c r="BD689" s="9" t="str">
        <x:f>HYPERLINK("https://web.archive.org/web/20191209015444id_/https://www.gamerankings.com/pc/197006-crusader-no-remorse/","Source")</x:f>
        <x:v>Source</x:v>
      </x:c>
      <x:c r="BE689" s="11" t="str">
        <x:f>HYPERLINK("https://en.wikipedia.org/wiki/Crusader:_No_Remorse","Wikipedia")</x:f>
        <x:v>Wikipedia</x:v>
      </x:c>
      <x:c r="BF689" s="11" t="str">
        <x:f>HYPERLINK("https://backloggd.com/search/games/Crusader%3A%20No%20Remorse/","Backloggd")</x:f>
        <x:v>Backloggd</x:v>
      </x:c>
      <x:c r="BG689" s="9"/>
      <x:c r="BH689" s="9"/>
      <x:c r="BI689" s="12" t="str">
        <x:v>No</x:v>
      </x:c>
      <x:c r="BJ689" s="12" t="str"/>
      <x:c r="BK689" s="12" t="str">
        <x:v>No</x:v>
      </x:c>
      <x:c r="BL689" s="12" t="str"/>
      <x:c r="BM689" s="12" t="str"/>
      <x:c r="BN689" s="12" t="str"/>
      <x:c r="BO689" s="12" t="str"/>
      <x:c r="BP689" s="12" t="str"/>
      <x:c r="BQ689" s="12" t="str"/>
    </x:row>
    <x:row r="690">
      <x:c r="A690" s="9" t="str">
        <x:v>pc-160</x:v>
      </x:c>
      <x:c r="B690" s="9" t="str">
        <x:v>crusader-no-regret</x:v>
      </x:c>
      <x:c r="C690" s="9" t="str">
        <x:v>PC</x:v>
      </x:c>
      <x:c r="D690" s="9" t="str">
        <x:v>Crusader: No Regret</x:v>
      </x:c>
      <x:c r="E690" s="9" t="str"/>
      <x:c r="F690" s="9" t="str">
        <x:v>Origin Systems</x:v>
      </x:c>
      <x:c r="G690" s="9" t="str">
        <x:v>Electronic Arts / Origin</x:v>
      </x:c>
      <x:c r="H690" s="9" t="n">
        <x:v>1996</x:v>
      </x:c>
      <x:c r="I690" s="9" t="str">
        <x:v>Yes</x:v>
      </x:c>
      <x:c r="J690" s="9" t="str">
        <x:v>No</x:v>
      </x:c>
      <x:c r="K690" s="9" t="str">
        <x:v>Yes</x:v>
      </x:c>
      <x:c r="L690" s="9" t="str">
        <x:v>No</x:v>
      </x:c>
      <x:c r="M690" s="9" t="str">
        <x:v>Isometric action</x:v>
      </x:c>
      <x:c r="N690" s="9" t="str">
        <x:v>Live-action</x:v>
      </x:c>
      <x:c r="O690" s="9" t="n">
        <x:v>2</x:v>
      </x:c>
      <x:c r="P690" s="9" t="str">
        <x:v>Cutscenes only</x:v>
      </x:c>
      <x:c r="Q690" s="9" t="str">
        <x:v>Released</x:v>
      </x:c>
      <x:c r="R690" s="9" t="str">
        <x:v>PC original; sequel to No Remorse</x:v>
      </x:c>
      <x:c r="S690" s="9" t="str">
        <x:v>—</x:v>
      </x:c>
      <x:c r="T690" s="9" t="str">
        <x:v>Live-action cast (names verify)</x:v>
      </x:c>
      <x:c r="U690" s="9" t="n">
        <x:v>1</x:v>
      </x:c>
      <x:c r="V690" s="9" t="str">
        <x:v>Yes</x:v>
      </x:c>
      <x:c r="W690" s="9" t="str">
        <x:v>486DX2/66, 8 MB RAM, 2x CD-ROM, SVGA; DOS</x:v>
      </x:c>
      <x:c r="X690" s="9" t="str">
        <x:v>Low</x:v>
      </x:c>
      <x:c r="Y690" s="9" t="str"/>
      <x:c r="Z690" s="9" t="str">
        <x:v>10–15 hr</x:v>
      </x:c>
      <x:c r="AA690" s="9" t="str">
        <x:v>More live-action Resistance melodrama as the Silencer hits a lunar mining base.</x:v>
      </x:c>
      <x:c r="AB690" s="9" t="str">
        <x:v>None known</x:v>
      </x:c>
      <x:c r="AC690" s="9" t="str">
        <x:v>Live-action cutscenes, about 320x200 (verify)</x:v>
      </x:c>
      <x:c r="AD690" s="9" t="str">
        <x:v>Hard</x:v>
      </x:c>
      <x:c r="AE690" s="9" t="str">
        <x:v>Single ending</x:v>
      </x:c>
      <x:c r="AF690" s="9" t="str">
        <x:v>A planned third game, No Escape, was cancelled.</x:v>
      </x:c>
      <x:c r="AG690" s="9" t="str">
        <x:v>Big box; jewel case</x:v>
      </x:c>
      <x:c r="AH690" s="9" t="str">
        <x:v>Yes (GOG, Steam)</x:v>
      </x:c>
      <x:c r="AI690" s="9" t="str">
        <x:v>Easy</x:v>
      </x:c>
      <x:c r="AJ690" s="9" t="str">
        <x:v>GOG/Steam (DOSBox)</x:v>
      </x:c>
      <x:c r="AK690" s="9" t="str">
        <x:v>MobyGames DOS/Windows score not visible in search results (no snippets); left blank. PriceCharting PC price not fetched: the shared WebFetch budget was exhausted for this batch; price null (re-run price pull).</x:v>
      </x:c>
      <x:c r="AL690" s="10" t="n">
        <x:v>12.97</x:v>
      </x:c>
      <x:c r="AM690" s="10" t="n">
        <x:v>44.86</x:v>
      </x:c>
      <x:c r="AN690" s="10" t="n">
        <x:v>60</x:v>
      </x:c>
      <x:c r="AO690" s="9" t="str">
        <x:v>2026-10-24</x:v>
      </x:c>
      <x:c r="AP690" s="11" t="str">
        <x:f>HYPERLINK("https://www.pricecharting.com/game/pc-games/crusader-no-regret","PriceCharting")</x:f>
        <x:v>PriceCharting</x:v>
      </x:c>
      <x:c r="AQ690" s="9" t="n">
        <x:v>5.99</x:v>
      </x:c>
      <x:c r="AR690" s="11" t="str">
        <x:v>GOG</x:v>
      </x:c>
      <x:c r="AS690" s="9" t="str">
        <x:f>HYPERLINK("https://www.gog.com/en/game/crusader_no_regret","Store")</x:f>
        <x:v>Store</x:v>
      </x:c>
      <x:c r="AT690" s="9" t="str">
        <x:v>2026-10-24</x:v>
      </x:c>
      <x:c r="AU690" s="9"/>
      <x:c r="AV690" s="9"/>
      <x:c r="AW690" s="9"/>
      <x:c r="AX690" s="9"/>
      <x:c r="AY690" s="9" t="str">
        <x:v>83%</x:v>
      </x:c>
      <x:c r="AZ690" s="9" t="str">
        <x:v>3.7</x:v>
      </x:c>
      <x:c r="BA690" s="11" t="str">
        <x:f>HYPERLINK("https://www.mobygames.com/game/dos/crusader-no-regret","MobyGames")</x:f>
        <x:v>MobyGames</x:v>
      </x:c>
      <x:c r="BB690" s="9"/>
      <x:c r="BC690" s="9"/>
      <x:c r="BD690" s="9"/>
      <x:c r="BE690" s="11" t="str">
        <x:f>HYPERLINK("https://en.wikipedia.org/wiki/Crusader:_No_Regret","Wikipedia")</x:f>
        <x:v>Wikipedia</x:v>
      </x:c>
      <x:c r="BF690" s="11" t="str">
        <x:f>HYPERLINK("https://backloggd.com/search/games/Crusader%3A%20No%20Regret/","Backloggd")</x:f>
        <x:v>Backloggd</x:v>
      </x:c>
      <x:c r="BG690" s="9"/>
      <x:c r="BH690" s="9"/>
      <x:c r="BI690" s="12" t="str">
        <x:v>No</x:v>
      </x:c>
      <x:c r="BJ690" s="12" t="str"/>
      <x:c r="BK690" s="12" t="str">
        <x:v>No</x:v>
      </x:c>
      <x:c r="BL690" s="12" t="str"/>
      <x:c r="BM690" s="12" t="str"/>
      <x:c r="BN690" s="12" t="str"/>
      <x:c r="BO690" s="12" t="str"/>
      <x:c r="BP690" s="12" t="str"/>
      <x:c r="BQ690" s="12" t="str"/>
    </x:row>
    <x:row r="691">
      <x:c r="A691" s="9" t="str">
        <x:v>pc-161</x:v>
      </x:c>
      <x:c r="B691" s="9" t="str">
        <x:v>mechwarrior-2-mercenaries</x:v>
      </x:c>
      <x:c r="C691" s="9" t="str">
        <x:v>PC</x:v>
      </x:c>
      <x:c r="D691" s="9" t="str">
        <x:v>MechWarrior 2: Mercenaries</x:v>
      </x:c>
      <x:c r="E691" s="9" t="str"/>
      <x:c r="F691" s="9" t="str">
        <x:v>Activision</x:v>
      </x:c>
      <x:c r="G691" s="9" t="str">
        <x:v>Activision</x:v>
      </x:c>
      <x:c r="H691" s="9" t="n">
        <x:v>1996</x:v>
      </x:c>
      <x:c r="I691" s="9" t="str">
        <x:v>Yes</x:v>
      </x:c>
      <x:c r="J691" s="9" t="str">
        <x:v>No</x:v>
      </x:c>
      <x:c r="K691" s="9" t="str">
        <x:v>Yes</x:v>
      </x:c>
      <x:c r="L691" s="9" t="str">
        <x:v>No</x:v>
      </x:c>
      <x:c r="M691" s="9" t="str">
        <x:v>Mech simulation</x:v>
      </x:c>
      <x:c r="N691" s="9" t="str">
        <x:v>Live-action</x:v>
      </x:c>
      <x:c r="O691" s="9" t="n">
        <x:v>2</x:v>
      </x:c>
      <x:c r="P691" s="9" t="str">
        <x:v>Cutscenes only</x:v>
      </x:c>
      <x:c r="Q691" s="9" t="str">
        <x:v>Released</x:v>
      </x:c>
      <x:c r="R691" s="9" t="str">
        <x:v>BattleTech licence; PC original</x:v>
      </x:c>
      <x:c r="S691" s="9" t="str">
        <x:v>—</x:v>
      </x:c>
      <x:c r="T691" s="9" t="str">
        <x:v>Live-action mercenary cast (names verify)</x:v>
      </x:c>
      <x:c r="U691" s="9" t="n">
        <x:v>1</x:v>
      </x:c>
      <x:c r="V691" s="9" t="str">
        <x:v>Yes</x:v>
      </x:c>
      <x:c r="W691" s="9" t="str">
        <x:v>Pentium 60, 8 MB RAM, 2x CD-ROM, SVGA; DOS (Win95 and 3D-card editions)</x:v>
      </x:c>
      <x:c r="X691" s="9" t="str">
        <x:v>Low</x:v>
      </x:c>
      <x:c r="Y691" s="9" t="str"/>
      <x:c r="Z691" s="9" t="str">
        <x:v>15–25 hr</x:v>
      </x:c>
      <x:c r="AA691" s="9" t="str">
        <x:v>Live-action contract briefings and a mercenary career wrapped around Activision's mech sim.</x:v>
      </x:c>
      <x:c r="AB691" s="9" t="str">
        <x:v>None known</x:v>
      </x:c>
      <x:c r="AC691" s="9" t="str">
        <x:v>Live-action and CG cutscenes in a window, low frame rate (verify)</x:v>
      </x:c>
      <x:c r="AD691" s="9" t="str">
        <x:v>Moderate to hard</x:v>
      </x:c>
      <x:c r="AE691" s="9" t="str">
        <x:v>Branching contracts, single main ending (verify)</x:v>
      </x:c>
      <x:c r="AF691" s="9" t="str">
        <x:v>Activision later shipped 3D-accelerated editions for several cards and the Titanium bundle.</x:v>
      </x:c>
      <x:c r="AG691" s="9" t="str">
        <x:v>DOS original; Windows 95 version; 3dfx/Matrox/ATI 3D-card editions; Titanium Edition (1997)</x:v>
      </x:c>
      <x:c r="AH691" s="9" t="str">
        <x:v>No (licence issues)</x:v>
      </x:c>
      <x:c r="AI691" s="9" t="str">
        <x:v>Easy</x:v>
      </x:c>
      <x:c r="AJ691" s="9" t="str">
        <x:v>Original discs in DOSBox (DOS version)</x:v>
      </x:c>
      <x:c r="AK691" s="9" t="str">
        <x:v>MobyGames DOS/Windows score not visible in search results (no snippets); left blank. PriceCharting PC price not fetched: the shared WebFetch budget was exhausted for this batch; price null (re-run price pull).</x:v>
      </x:c>
      <x:c r="AL691" s="10" t="n">
        <x:v>9.02</x:v>
      </x:c>
      <x:c r="AM691" s="10" t="n">
        <x:v>45.43</x:v>
      </x:c>
      <x:c r="AN691" s="10" t="n">
        <x:v>49.84</x:v>
      </x:c>
      <x:c r="AO691" s="9" t="str">
        <x:v>2026-10-24</x:v>
      </x:c>
      <x:c r="AP691" s="11" t="str">
        <x:f>HYPERLINK("https://www.pricecharting.com/game/pc-games/mechwarrior-2-mercenaries","PriceCharting")</x:f>
        <x:v>PriceCharting</x:v>
      </x:c>
      <x:c r="AQ691" s="9"/>
      <x:c r="AR691" s="9"/>
      <x:c r="AS691" s="9"/>
      <x:c r="AT691" s="9"/>
      <x:c r="AU691" s="9"/>
      <x:c r="AV691" s="9"/>
      <x:c r="AW691" s="9"/>
      <x:c r="AX691" s="9"/>
      <x:c r="AY691" s="9" t="str">
        <x:v>85%</x:v>
      </x:c>
      <x:c r="AZ691" s="9" t="str">
        <x:v>4.0</x:v>
      </x:c>
      <x:c r="BA691" s="11" t="str">
        <x:f>HYPERLINK("https://www.mobygames.com/game/dos/mechwarrior-2-mercenaries","MobyGames")</x:f>
        <x:v>MobyGames</x:v>
      </x:c>
      <x:c r="BB691" s="9"/>
      <x:c r="BC691" s="9"/>
      <x:c r="BD691" s="9"/>
      <x:c r="BE691" s="11" t="str">
        <x:f>HYPERLINK("https://en.wikipedia.org/wiki/MechWarrior_2:_Mercenaries","Wikipedia")</x:f>
        <x:v>Wikipedia</x:v>
      </x:c>
      <x:c r="BF691" s="11" t="str">
        <x:f>HYPERLINK("https://backloggd.com/search/games/MechWarrior%202%3A%20Mercenaries/","Backloggd")</x:f>
        <x:v>Backloggd</x:v>
      </x:c>
      <x:c r="BG691" s="9"/>
      <x:c r="BH691" s="9"/>
      <x:c r="BI691" s="12" t="str">
        <x:v>No</x:v>
      </x:c>
      <x:c r="BJ691" s="12" t="str"/>
      <x:c r="BK691" s="12" t="str">
        <x:v>No</x:v>
      </x:c>
      <x:c r="BL691" s="12" t="str"/>
      <x:c r="BM691" s="12" t="str"/>
      <x:c r="BN691" s="12" t="str"/>
      <x:c r="BO691" s="12" t="str"/>
      <x:c r="BP691" s="12" t="str"/>
      <x:c r="BQ691" s="12" t="str"/>
    </x:row>
    <x:row r="692">
      <x:c r="A692" s="9" t="str">
        <x:v>pc-162</x:v>
      </x:c>
      <x:c r="B692" s="9" t="str">
        <x:v>nuclear-strike</x:v>
      </x:c>
      <x:c r="C692" s="9" t="str">
        <x:v>PC</x:v>
      </x:c>
      <x:c r="D692" s="9" t="str">
        <x:v>Nuclear Strike</x:v>
      </x:c>
      <x:c r="E692" s="9" t="str"/>
      <x:c r="F692" s="9" t="str">
        <x:v>Electronic Arts</x:v>
      </x:c>
      <x:c r="G692" s="9" t="str">
        <x:v>Electronic Arts</x:v>
      </x:c>
      <x:c r="H692" s="9" t="n">
        <x:v>1997</x:v>
      </x:c>
      <x:c r="I692" s="9" t="str">
        <x:v>Yes</x:v>
      </x:c>
      <x:c r="J692" s="9" t="str">
        <x:v>No</x:v>
      </x:c>
      <x:c r="K692" s="9" t="str">
        <x:v>Yes</x:v>
      </x:c>
      <x:c r="L692" s="9" t="str">
        <x:v>No</x:v>
      </x:c>
      <x:c r="M692" s="9" t="str">
        <x:v>Helicopter action</x:v>
      </x:c>
      <x:c r="N692" s="9" t="str">
        <x:v>Live-action</x:v>
      </x:c>
      <x:c r="O692" s="9" t="n">
        <x:v>2</x:v>
      </x:c>
      <x:c r="P692" s="9" t="str">
        <x:v>Cutscenes only</x:v>
      </x:c>
      <x:c r="Q692" s="9" t="str">
        <x:v>Released</x:v>
      </x:c>
      <x:c r="R692" s="9" t="str">
        <x:v>Sequel to Soviet Strike</x:v>
      </x:c>
      <x:c r="S692" s="9" t="str">
        <x:v>PlayStation, N64 (Nuclear Strike 64)</x:v>
      </x:c>
      <x:c r="T692" s="9" t="str">
        <x:v>John Marzilli (General Earle), Antwon Tanner (Hack), Susan Turner-Cray (Andrea Gray), Bo Hopkins (Colonel LeMonde), Moon Bloodgood (Naja Hana), Philip Tan (Napoleon Hwong), Jamie Donovan (Harding Cash)</x:v>
      </x:c>
      <x:c r="U692" s="9" t="n">
        <x:v>1</x:v>
      </x:c>
      <x:c r="V692" s="9" t="str">
        <x:v>Yes</x:v>
      </x:c>
      <x:c r="W692" s="9" t="str">
        <x:v>Pentium 90, 16 MB RAM, 4x CD-ROM; Win95</x:v>
      </x:c>
      <x:c r="X692" s="9" t="str">
        <x:v>Low</x:v>
      </x:c>
      <x:c r="Y692" s="9" t="str"/>
      <x:c r="Z692" s="9" t="str">
        <x:v>8–12 hr</x:v>
      </x:c>
      <x:c r="AA692" s="9" t="str">
        <x:v>Strike series briefings shot like a cable action film between helicopter sorties.</x:v>
      </x:c>
      <x:c r="AB692" s="9" t="str">
        <x:v>None known</x:v>
      </x:c>
      <x:c r="AC692" s="9" t="str">
        <x:v>Live-action briefings and news clips, about 320x240 (verify)</x:v>
      </x:c>
      <x:c r="AD692" s="9" t="str">
        <x:v>Hard</x:v>
      </x:c>
      <x:c r="AE692" s="9" t="str">
        <x:v>Single ending</x:v>
      </x:c>
      <x:c r="AF692" s="9" t="str">
        <x:v>The PC port followed the PlayStation original late in 1997.</x:v>
      </x:c>
      <x:c r="AG692" s="9" t="str">
        <x:v>Standard box; jewel case</x:v>
      </x:c>
      <x:c r="AH692" s="9" t="str">
        <x:v>No</x:v>
      </x:c>
      <x:c r="AI692" s="9" t="str">
        <x:v>Easy</x:v>
      </x:c>
      <x:c r="AJ692" s="9" t="str">
        <x:v>Original discs in DOSBox</x:v>
      </x:c>
      <x:c r="AK692" s="9" t="str">
        <x:v>MobyGames DOS/Windows score not visible in search results (no snippets); left blank. PriceCharting PC price not fetched: the shared WebFetch budget was exhausted for this batch; price null (re-run price pull).</x:v>
      </x:c>
      <x:c r="AL692" s="10" t="n">
        <x:v>7.03</x:v>
      </x:c>
      <x:c r="AM692" s="10" t="n">
        <x:v>19.2</x:v>
      </x:c>
      <x:c r="AN692" s="10" t="n">
        <x:v>48.1</x:v>
      </x:c>
      <x:c r="AO692" s="9" t="str">
        <x:v>2026-10-24</x:v>
      </x:c>
      <x:c r="AP692" s="11" t="str">
        <x:f>HYPERLINK("https://www.pricecharting.com/game/pc-games/nuclear-strike","PriceCharting")</x:f>
        <x:v>PriceCharting</x:v>
      </x:c>
      <x:c r="AQ692" s="9"/>
      <x:c r="AR692" s="9"/>
      <x:c r="AS692" s="9"/>
      <x:c r="AT692" s="9"/>
      <x:c r="AU692" s="9"/>
      <x:c r="AV692" s="9"/>
      <x:c r="AW692" s="9"/>
      <x:c r="AX692" s="9"/>
      <x:c r="AY692" s="9" t="str">
        <x:v>78%</x:v>
      </x:c>
      <x:c r="AZ692" s="9" t="str">
        <x:v>3.5</x:v>
      </x:c>
      <x:c r="BA692" s="11" t="str">
        <x:f>HYPERLINK("https://www.mobygames.com/game/windows/nuclear-strike","MobyGames")</x:f>
        <x:v>MobyGames</x:v>
      </x:c>
      <x:c r="BB692" s="9"/>
      <x:c r="BC692" s="9"/>
      <x:c r="BD692" s="9"/>
      <x:c r="BE692" s="11" t="str">
        <x:f>HYPERLINK("https://en.wikipedia.org/wiki/Nuclear_Strike","Wikipedia")</x:f>
        <x:v>Wikipedia</x:v>
      </x:c>
      <x:c r="BF692" s="11" t="str">
        <x:f>HYPERLINK("https://backloggd.com/search/games/Nuclear%20Strike/","Backloggd")</x:f>
        <x:v>Backloggd</x:v>
      </x:c>
      <x:c r="BG692" s="9"/>
      <x:c r="BH692" s="9"/>
      <x:c r="BI692" s="12" t="str">
        <x:v>No</x:v>
      </x:c>
      <x:c r="BJ692" s="12" t="str"/>
      <x:c r="BK692" s="12" t="str">
        <x:v>No</x:v>
      </x:c>
      <x:c r="BL692" s="12" t="str"/>
      <x:c r="BM692" s="12" t="str"/>
      <x:c r="BN692" s="12" t="str"/>
      <x:c r="BO692" s="12" t="str"/>
      <x:c r="BP692" s="12" t="str"/>
      <x:c r="BQ692" s="12" t="str"/>
    </x:row>
    <x:row r="693">
      <x:c r="A693" s="9" t="str">
        <x:v>pc-163</x:v>
      </x:c>
      <x:c r="B693" s="9" t="str">
        <x:v>sid-meiers-civilization-ii</x:v>
      </x:c>
      <x:c r="C693" s="9" t="str">
        <x:v>PC</x:v>
      </x:c>
      <x:c r="D693" s="9" t="str">
        <x:v>Civilization II</x:v>
      </x:c>
      <x:c r="E693" s="9" t="str">
        <x:v>Sid Meier's Civilization II</x:v>
      </x:c>
      <x:c r="F693" s="9" t="str">
        <x:v>MicroProse</x:v>
      </x:c>
      <x:c r="G693" s="9" t="str">
        <x:v>MicroProse</x:v>
      </x:c>
      <x:c r="H693" s="9" t="n">
        <x:v>1996</x:v>
      </x:c>
      <x:c r="I693" s="9" t="str">
        <x:v>Yes</x:v>
      </x:c>
      <x:c r="J693" s="9" t="str">
        <x:v>No</x:v>
      </x:c>
      <x:c r="K693" s="9" t="str">
        <x:v>Yes</x:v>
      </x:c>
      <x:c r="L693" s="9" t="str">
        <x:v>No</x:v>
      </x:c>
      <x:c r="M693" s="9" t="str">
        <x:v>Turn-based strategy</x:v>
      </x:c>
      <x:c r="N693" s="9" t="str">
        <x:v>Live-action</x:v>
      </x:c>
      <x:c r="O693" s="9" t="n">
        <x:v>1</x:v>
      </x:c>
      <x:c r="P693" s="9" t="str">
        <x:v>Cutscenes only</x:v>
      </x:c>
      <x:c r="Q693" s="9" t="str">
        <x:v>Released</x:v>
      </x:c>
      <x:c r="R693" s="9" t="str">
        <x:v>PC original; sequel to Civilization</x:v>
      </x:c>
      <x:c r="S693" s="9" t="str">
        <x:v>Mac, PlayStation</x:v>
      </x:c>
      <x:c r="T693" s="9" t="str">
        <x:v>High Council advisors played by actors (names verify)</x:v>
      </x:c>
      <x:c r="U693" s="9" t="n">
        <x:v>1</x:v>
      </x:c>
      <x:c r="V693" s="9" t="str">
        <x:v>Yes</x:v>
      </x:c>
      <x:c r="W693" s="9" t="str">
        <x:v>486/33, 8 MB RAM, 2x CD-ROM, SVGA; Win 3.1 &amp; Win95</x:v>
      </x:c>
      <x:c r="X693" s="9" t="str">
        <x:v>Low</x:v>
      </x:c>
      <x:c r="Y693" s="9" t="str"/>
      <x:c r="Z693" s="9" t="str">
        <x:v>10–30 hr</x:v>
      </x:c>
      <x:c r="AA693" s="9" t="str">
        <x:v>Five actors arguing as your High Council advisors, plus Wonder of the World movie clips.</x:v>
      </x:c>
      <x:c r="AB693" s="9" t="str">
        <x:v>None known</x:v>
      </x:c>
      <x:c r="AC693" s="9" t="str">
        <x:v>Small windowed live-action clips (High Council) and Wonder movies (verify)</x:v>
      </x:c>
      <x:c r="AD693" s="9" t="str">
        <x:v>Adjustable, six levels</x:v>
      </x:c>
      <x:c r="AE693" s="9" t="str">
        <x:v>Win by conquest or space race</x:v>
      </x:c>
      <x:c r="AF693" s="9" t="str">
        <x:v>The High Council advisors change costume as the game moves through eras.</x:v>
      </x:c>
      <x:c r="AG693" s="9" t="str">
        <x:v>Original; Multiplayer Gold Edition (1998); Test of Time (1999, separate game)</x:v>
      </x:c>
      <x:c r="AH693" s="9" t="str">
        <x:v>No</x:v>
      </x:c>
      <x:c r="AI693" s="9" t="str">
        <x:v>Easy</x:v>
      </x:c>
      <x:c r="AJ693" s="9" t="str">
        <x:v>86Box/PCem or Windows VM (Win 3.1/95-era title)</x:v>
      </x:c>
      <x:c r="AK693" s="9" t="str">
        <x:v>FMV is a side feature: borderline cutscene title included because SCOPE names it. MobyGames DOS/Windows score not visible in search results (no snippets); left blank. PriceCharting PC price not fetched: the shared WebFetch budget was exhausted for this batch; price null (re-run price pull).</x:v>
      </x:c>
      <x:c r="AL693" s="10" t="n">
        <x:v>9.99</x:v>
      </x:c>
      <x:c r="AM693" s="10" t="n">
        <x:v>24.2</x:v>
      </x:c>
      <x:c r="AN693" s="10" t="n">
        <x:v>64.67</x:v>
      </x:c>
      <x:c r="AO693" s="9" t="str">
        <x:v>2026-10-24</x:v>
      </x:c>
      <x:c r="AP693" s="11" t="str">
        <x:f>HYPERLINK("https://www.pricecharting.com/game/pc-games/civilization-ii","PriceCharting")</x:f>
        <x:v>PriceCharting</x:v>
      </x:c>
      <x:c r="AQ693" s="9"/>
      <x:c r="AR693" s="9"/>
      <x:c r="AS693" s="9"/>
      <x:c r="AT693" s="9"/>
      <x:c r="AU693" s="9"/>
      <x:c r="AV693" s="9"/>
      <x:c r="AW693" s="9"/>
      <x:c r="AX693" s="9"/>
      <x:c r="AY693" s="9" t="str">
        <x:v>92%</x:v>
      </x:c>
      <x:c r="AZ693" s="9" t="str">
        <x:v>4.1</x:v>
      </x:c>
      <x:c r="BA693" s="11" t="str">
        <x:f>HYPERLINK("https://www.mobygames.com/game/windows/sid-meiers-civilization-ii","MobyGames")</x:f>
        <x:v>MobyGames</x:v>
      </x:c>
      <x:c r="BB693" s="9"/>
      <x:c r="BC693" s="9"/>
      <x:c r="BD693" s="9"/>
      <x:c r="BE693" s="11" t="str">
        <x:f>HYPERLINK("https://en.wikipedia.org/wiki/Civilization_II","Wikipedia")</x:f>
        <x:v>Wikipedia</x:v>
      </x:c>
      <x:c r="BF693" s="11" t="str">
        <x:f>HYPERLINK("https://backloggd.com/search/games/Civilization%20II/","Backloggd")</x:f>
        <x:v>Backloggd</x:v>
      </x:c>
      <x:c r="BG693" s="9"/>
      <x:c r="BH693" s="9"/>
      <x:c r="BI693" s="12" t="str">
        <x:v>No</x:v>
      </x:c>
      <x:c r="BJ693" s="12" t="str"/>
      <x:c r="BK693" s="12" t="str">
        <x:v>No</x:v>
      </x:c>
      <x:c r="BL693" s="12" t="str"/>
      <x:c r="BM693" s="12" t="str"/>
      <x:c r="BN693" s="12" t="str"/>
      <x:c r="BO693" s="12" t="str"/>
      <x:c r="BP693" s="12" t="str"/>
      <x:c r="BQ693" s="12" t="str"/>
    </x:row>
    <x:row r="694">
      <x:c r="A694" s="9" t="str">
        <x:v>pc-164</x:v>
      </x:c>
      <x:c r="B694" s="9" t="str">
        <x:v>final-fantasy-vii</x:v>
      </x:c>
      <x:c r="C694" s="9" t="str">
        <x:v>PC</x:v>
      </x:c>
      <x:c r="D694" s="9" t="str">
        <x:v>Final Fantasy VII</x:v>
      </x:c>
      <x:c r="E694" s="9" t="str"/>
      <x:c r="F694" s="9" t="str">
        <x:v>Square (PC port by Eidos/Square)</x:v>
      </x:c>
      <x:c r="G694" s="9" t="str">
        <x:v>Eidos Interactive</x:v>
      </x:c>
      <x:c r="H694" s="9" t="n">
        <x:v>1998</x:v>
      </x:c>
      <x:c r="I694" s="9" t="str">
        <x:v>Yes</x:v>
      </x:c>
      <x:c r="J694" s="9" t="str">
        <x:v>No</x:v>
      </x:c>
      <x:c r="K694" s="9" t="str">
        <x:v>Yes</x:v>
      </x:c>
      <x:c r="L694" s="9" t="str">
        <x:v>No</x:v>
      </x:c>
      <x:c r="M694" s="9" t="str">
        <x:v>RPG</x:v>
      </x:c>
      <x:c r="N694" s="9" t="str">
        <x:v>Pre-rendered CG</x:v>
      </x:c>
      <x:c r="O694" s="9" t="n">
        <x:v>2</x:v>
      </x:c>
      <x:c r="P694" s="9" t="str">
        <x:v>Cutscenes only</x:v>
      </x:c>
      <x:c r="Q694" s="9" t="str">
        <x:v>Released</x:v>
      </x:c>
      <x:c r="R694" s="9" t="str">
        <x:v>PlayStation original (1997)</x:v>
      </x:c>
      <x:c r="S694" s="9" t="str">
        <x:v>PlayStation; later PS4, Switch, Xbox, mobile</x:v>
      </x:c>
      <x:c r="T694" s="9" t="str">
        <x:v>—</x:v>
      </x:c>
      <x:c r="U694" s="9" t="n">
        <x:v>4</x:v>
      </x:c>
      <x:c r="V694" s="9" t="str">
        <x:v>Yes</x:v>
      </x:c>
      <x:c r="W694" s="9" t="str">
        <x:v>Pentium 133, 32 MB RAM, 4x CD-ROM, Direct3D card recommended; Win95</x:v>
      </x:c>
      <x:c r="X694" s="9" t="str">
        <x:v>Low–Med</x:v>
      </x:c>
      <x:c r="Y694" s="9" t="str">
        <x:v>Publisher soundtrack claims possible</x:v>
      </x:c>
      <x:c r="Z694" s="9" t="str">
        <x:v>40–50 hr</x:v>
      </x:c>
      <x:c r="AA694" s="9" t="str">
        <x:v>Square's FMV-showpiece RPG on PC, with its CG movies and MIDI-downgraded soundtrack.</x:v>
      </x:c>
      <x:c r="AB694" s="9" t="str">
        <x:v>None known</x:v>
      </x:c>
      <x:c r="AC694" s="9" t="str">
        <x:v>PS1 CG movies (320x224, 15 fps) re-encoded for PC (verify)</x:v>
      </x:c>
      <x:c r="AD694" s="9" t="str">
        <x:v>Easy to moderate</x:v>
      </x:c>
      <x:c r="AE694" s="9" t="str">
        <x:v>Single ending</x:v>
      </x:c>
      <x:c r="AF694" s="9" t="str">
        <x:v>The 1998 PC port replaced the PS1 soundtrack with General MIDI and added hi-res 3D.</x:v>
      </x:c>
      <x:c r="AG694" s="9" t="str">
        <x:v>Eidos 4-CD box; jewel case reissues</x:v>
      </x:c>
      <x:c r="AH694" s="9" t="str">
        <x:v>Yes (Steam, 2013 re-release)</x:v>
      </x:c>
      <x:c r="AI694" s="9" t="str">
        <x:v>Easy</x:v>
      </x:c>
      <x:c r="AJ694" s="9" t="str">
        <x:v>Steam re-release</x:v>
      </x:c>
      <x:c r="AK694" s="9" t="str">
        <x:v>Disc count: PC version shipped on 4 CDs (verify). MobyGames DOS/Windows score not visible in search results (no snippets); left blank. PriceCharting PC price not fetched: the shared WebFetch budget was exhausted for this batch; price null (re-run price pull).</x:v>
      </x:c>
      <x:c r="AL694" s="10" t="n">
        <x:v>17.9</x:v>
      </x:c>
      <x:c r="AM694" s="10" t="n">
        <x:v>84.88</x:v>
      </x:c>
      <x:c r="AN694" s="10" t="n">
        <x:v>87.87</x:v>
      </x:c>
      <x:c r="AO694" s="9" t="str">
        <x:v>2026-10-24</x:v>
      </x:c>
      <x:c r="AP694" s="11" t="str">
        <x:f>HYPERLINK("https://www.pricecharting.com/game/pc-games/final-fantasy-vii","PriceCharting")</x:f>
        <x:v>PriceCharting</x:v>
      </x:c>
      <x:c r="AQ694" s="9" t="n">
        <x:v>11.99</x:v>
      </x:c>
      <x:c r="AR694" s="11" t="str">
        <x:v>Steam</x:v>
      </x:c>
      <x:c r="AS694" s="9" t="str">
        <x:f>HYPERLINK("https://store.steampowered.com/app/3837340/","Store")</x:f>
        <x:v>Store</x:v>
      </x:c>
      <x:c r="AT694" s="9" t="str">
        <x:v>2026-10-24</x:v>
      </x:c>
      <x:c r="AU694" s="9"/>
      <x:c r="AV694" s="9"/>
      <x:c r="AW694" s="9"/>
      <x:c r="AX694" s="9"/>
      <x:c r="AY694" s="9"/>
      <x:c r="AZ694" s="9"/>
      <x:c r="BA694" s="11" t="str">
        <x:f>HYPERLINK("https://www.mobygames.com/game/858/final-fantasy-vii/","MobyGames")</x:f>
        <x:v>MobyGames</x:v>
      </x:c>
      <x:c r="BB694" s="9" t="str">
        <x:v>86%</x:v>
      </x:c>
      <x:c r="BC694" s="9" t="str">
        <x:v>GameRankings, 10 reviews</x:v>
      </x:c>
      <x:c r="BD694" s="9" t="str">
        <x:f>HYPERLINK("https://web.archive.org/web/20191209011836id_/https://www.gamerankings.com/pc/130791-final-fantasy-vii/","Source")</x:f>
        <x:v>Source</x:v>
      </x:c>
      <x:c r="BE694" s="11" t="str">
        <x:f>HYPERLINK("https://en.wikipedia.org/wiki/Final_Fantasy_VII","Wikipedia")</x:f>
        <x:v>Wikipedia</x:v>
      </x:c>
      <x:c r="BF694" s="11" t="str">
        <x:f>HYPERLINK("https://backloggd.com/search/games/Final%20Fantasy%20VII/","Backloggd")</x:f>
        <x:v>Backloggd</x:v>
      </x:c>
      <x:c r="BG694" s="9"/>
      <x:c r="BH694" s="9"/>
      <x:c r="BI694" s="12" t="str">
        <x:v>No</x:v>
      </x:c>
      <x:c r="BJ694" s="12" t="str"/>
      <x:c r="BK694" s="12" t="str">
        <x:v>No</x:v>
      </x:c>
      <x:c r="BL694" s="12" t="str"/>
      <x:c r="BM694" s="12" t="str"/>
      <x:c r="BN694" s="12" t="str"/>
      <x:c r="BO694" s="12" t="str"/>
      <x:c r="BP694" s="12" t="str"/>
      <x:c r="BQ694" s="12" t="str"/>
    </x:row>
    <x:row r="695">
      <x:c r="A695" s="9" t="str">
        <x:v>pc-165</x:v>
      </x:c>
      <x:c r="B695" s="9" t="str">
        <x:v>final-fantasy-viii</x:v>
      </x:c>
      <x:c r="C695" s="9" t="str">
        <x:v>PC</x:v>
      </x:c>
      <x:c r="D695" s="9" t="str">
        <x:v>Final Fantasy VIII</x:v>
      </x:c>
      <x:c r="E695" s="9" t="str"/>
      <x:c r="F695" s="9" t="str">
        <x:v>Square</x:v>
      </x:c>
      <x:c r="G695" s="9" t="str">
        <x:v>Square Electronic Arts (NA); Eidos Interactive (EU); Square (JP)</x:v>
      </x:c>
      <x:c r="H695" s="9" t="n">
        <x:v>2000</x:v>
      </x:c>
      <x:c r="I695" s="9" t="str">
        <x:v>Yes</x:v>
      </x:c>
      <x:c r="J695" s="9" t="str">
        <x:v>Yes</x:v>
      </x:c>
      <x:c r="K695" s="9" t="str">
        <x:v>Yes</x:v>
      </x:c>
      <x:c r="L695" s="9" t="str">
        <x:v>No</x:v>
      </x:c>
      <x:c r="M695" s="9" t="str">
        <x:v>RPG</x:v>
      </x:c>
      <x:c r="N695" s="9" t="str">
        <x:v>Pre-rendered CG</x:v>
      </x:c>
      <x:c r="O695" s="9" t="n">
        <x:v>3</x:v>
      </x:c>
      <x:c r="P695" s="9" t="str">
        <x:v>Cutscenes only</x:v>
      </x:c>
      <x:c r="Q695" s="9" t="str">
        <x:v>Released</x:v>
      </x:c>
      <x:c r="R695" s="9" t="str">
        <x:v>PlayStation original (1999)</x:v>
      </x:c>
      <x:c r="S695" s="9" t="str">
        <x:v>PlayStation; Remastered 2019 multi-platform</x:v>
      </x:c>
      <x:c r="T695" s="9" t="str">
        <x:v>—</x:v>
      </x:c>
      <x:c r="U695" s="9" t="n">
        <x:v>4</x:v>
      </x:c>
      <x:c r="V695" s="9" t="str">
        <x:v>Yes</x:v>
      </x:c>
      <x:c r="W695" s="9" t="str">
        <x:v>Pentium 200, 32 MB RAM, 8x CD-ROM, Direct3D card; Win95/98</x:v>
      </x:c>
      <x:c r="X695" s="9" t="str">
        <x:v>Low–Med</x:v>
      </x:c>
      <x:c r="Y695" s="9" t="str">
        <x:v>Faye Wong 'Eyes on Me' and publisher soundtrack claims</x:v>
      </x:c>
      <x:c r="Z695" s="9" t="str">
        <x:v>40–50 hr</x:v>
      </x:c>
      <x:c r="AA695" s="9" t="str">
        <x:v>The most FMV-heavy Final Fantasy, with movies streaming under live gameplay, ported to PC.</x:v>
      </x:c>
      <x:c r="AB695" s="9" t="str">
        <x:v>None known</x:v>
      </x:c>
      <x:c r="AC695" s="9" t="str">
        <x:v>CG movies at PS1 resolution (320x224 / 15 fps) on PC (verify)</x:v>
      </x:c>
      <x:c r="AD695" s="9" t="str">
        <x:v>Easy to moderate (Junction system)</x:v>
      </x:c>
      <x:c r="AE695" s="9" t="str">
        <x:v>Single ending</x:v>
      </x:c>
      <x:c r="AF695" s="9" t="str">
        <x:v>The PC port added the Chocobo World minigame that the PlayStation had only through the PocketStation.</x:v>
      </x:c>
      <x:c r="AG695" s="9" t="str">
        <x:v>4-CD box; Japanese PC release (verify)</x:v>
      </x:c>
      <x:c r="AH695" s="9" t="str">
        <x:v>Yes (Steam 2013; Final Fantasy VIII Remastered 2019)</x:v>
      </x:c>
      <x:c r="AI695" s="9" t="str">
        <x:v>Easy</x:v>
      </x:c>
      <x:c r="AJ695" s="9" t="str">
        <x:v>Steam (2013 port or Remastered)</x:v>
      </x:c>
      <x:c r="AK695" s="9" t="str">
        <x:v>MobyGames DOS/Windows score not visible in search results (no snippets); left blank. PriceCharting PC price not fetched: the shared WebFetch budget was exhausted for this batch; price null (re-run price pull).</x:v>
      </x:c>
      <x:c r="AL695" s="10" t="n">
        <x:v>17.19</x:v>
      </x:c>
      <x:c r="AM695" s="10" t="n">
        <x:v>85.62</x:v>
      </x:c>
      <x:c r="AN695" s="10" t="n">
        <x:v>94.14</x:v>
      </x:c>
      <x:c r="AO695" s="9" t="str">
        <x:v>2026-10-24</x:v>
      </x:c>
      <x:c r="AP695" s="11" t="str">
        <x:f>HYPERLINK("https://www.pricecharting.com/game/pc-games/final-fantasy-viii","PriceCharting")</x:f>
        <x:v>PriceCharting</x:v>
      </x:c>
      <x:c r="AQ695" s="9" t="n">
        <x:v>11.99</x:v>
      </x:c>
      <x:c r="AR695" s="11" t="str">
        <x:v>Steam</x:v>
      </x:c>
      <x:c r="AS695" s="9" t="str">
        <x:f>HYPERLINK("https://store.steampowered.com/app/39150/","Store")</x:f>
        <x:v>Store</x:v>
      </x:c>
      <x:c r="AT695" s="9" t="str">
        <x:v>2026-10-24</x:v>
      </x:c>
      <x:c r="AU695" s="9"/>
      <x:c r="AV695" s="9"/>
      <x:c r="AW695" s="9"/>
      <x:c r="AX695" s="9"/>
      <x:c r="AY695" s="9" t="str">
        <x:v>79%</x:v>
      </x:c>
      <x:c r="AZ695" s="9" t="str">
        <x:v>3.8</x:v>
      </x:c>
      <x:c r="BA695" s="11" t="str">
        <x:f>HYPERLINK("https://www.mobygames.com/game/windows/final-fantasy-viii","MobyGames")</x:f>
        <x:v>MobyGames</x:v>
      </x:c>
      <x:c r="BB695" s="9"/>
      <x:c r="BC695" s="9"/>
      <x:c r="BD695" s="9"/>
      <x:c r="BE695" s="11" t="str">
        <x:f>HYPERLINK("https://en.wikipedia.org/wiki/Final_Fantasy_VIII","Wikipedia")</x:f>
        <x:v>Wikipedia</x:v>
      </x:c>
      <x:c r="BF695" s="11" t="str">
        <x:f>HYPERLINK("https://backloggd.com/search/games/Final%20Fantasy%20VIII/","Backloggd")</x:f>
        <x:v>Backloggd</x:v>
      </x:c>
      <x:c r="BG695" s="9"/>
      <x:c r="BH695" s="9"/>
      <x:c r="BI695" s="12" t="str">
        <x:v>No</x:v>
      </x:c>
      <x:c r="BJ695" s="12" t="str"/>
      <x:c r="BK695" s="12" t="str">
        <x:v>No</x:v>
      </x:c>
      <x:c r="BL695" s="12" t="str"/>
      <x:c r="BM695" s="12" t="str"/>
      <x:c r="BN695" s="12" t="str"/>
      <x:c r="BO695" s="12" t="str"/>
      <x:c r="BP695" s="12" t="str"/>
      <x:c r="BQ695" s="12" t="str"/>
    </x:row>
    <x:row r="696">
      <x:c r="A696" s="9" t="str">
        <x:v>pc-166</x:v>
      </x:c>
      <x:c r="B696" s="9" t="str">
        <x:v>resident-evil</x:v>
      </x:c>
      <x:c r="C696" s="9" t="str">
        <x:v>PC</x:v>
      </x:c>
      <x:c r="D696" s="9" t="str">
        <x:v>Resident Evil</x:v>
      </x:c>
      <x:c r="E696" s="9" t="str">
        <x:v>Biohazard (JP)</x:v>
      </x:c>
      <x:c r="F696" s="9" t="str">
        <x:v>Capcom</x:v>
      </x:c>
      <x:c r="G696" s="9" t="str">
        <x:v>Virgin Interactive (NA/EU), Capcom (JP)</x:v>
      </x:c>
      <x:c r="H696" s="9" t="n">
        <x:v>1997</x:v>
      </x:c>
      <x:c r="I696" s="9" t="str">
        <x:v>Yes</x:v>
      </x:c>
      <x:c r="J696" s="9" t="str">
        <x:v>Yes</x:v>
      </x:c>
      <x:c r="K696" s="9" t="str">
        <x:v>Yes</x:v>
      </x:c>
      <x:c r="L696" s="9" t="str">
        <x:v>No</x:v>
      </x:c>
      <x:c r="M696" s="9" t="str">
        <x:v>Survival horror</x:v>
      </x:c>
      <x:c r="N696" s="9" t="str">
        <x:v>Live-action + pre-rendered CG</x:v>
      </x:c>
      <x:c r="O696" s="9" t="n">
        <x:v>2</x:v>
      </x:c>
      <x:c r="P696" s="9" t="str">
        <x:v>Cutscenes only</x:v>
      </x:c>
      <x:c r="Q696" s="9" t="str">
        <x:v>Released</x:v>
      </x:c>
      <x:c r="R696" s="9" t="str">
        <x:v>PlayStation original (1996)</x:v>
      </x:c>
      <x:c r="S696" s="9" t="str">
        <x:v>PlayStation, Saturn, DS</x:v>
      </x:c>
      <x:c r="T696" s="9" t="str">
        <x:v>Charlie Kraslavsky (Chris), Inez Jesionowski (Jill), Greg Smith (Barry), Linda (Rebecca), Eric Pirius (Albert Wesker), Jason Durkee (Joseph) in the live-action intro and endings</x:v>
      </x:c>
      <x:c r="U696" s="9" t="n">
        <x:v>1</x:v>
      </x:c>
      <x:c r="V696" s="9" t="str">
        <x:v>Yes</x:v>
      </x:c>
      <x:c r="W696" s="9" t="str">
        <x:v>Pentium 90, 16 MB RAM, 2x CD-ROM; Win95; 3D card optional</x:v>
      </x:c>
      <x:c r="X696" s="9" t="str">
        <x:v>Low</x:v>
      </x:c>
      <x:c r="Y696" s="9" t="str"/>
      <x:c r="Z696" s="9" t="str">
        <x:v>5–8 hr</x:v>
      </x:c>
      <x:c r="AA696" s="9" t="str">
        <x:v>The PC release has the uncut, full-colour filmed intro that console players in the West never saw.</x:v>
      </x:c>
      <x:c r="AB696" s="9" t="str">
        <x:v>None known</x:v>
      </x:c>
      <x:c r="AC696" s="9" t="str">
        <x:v>Full-screen live-action intro and endings, uncut and in colour on PC (verify)</x:v>
      </x:c>
      <x:c r="AD696" s="9" t="str">
        <x:v>Moderate; Jill easier</x:v>
      </x:c>
      <x:c r="AE696" s="9" t="str">
        <x:v>Several endings for each character depending on who survives</x:v>
      </x:c>
      <x:c r="AF696" s="9" t="str">
        <x:v>The PC version restores the colour, uncensored live-action intro cut from Western console releases.</x:v>
      </x:c>
      <x:c r="AG696" s="9" t="str">
        <x:v>Big box; jewel case; 3D-accelerated editions (verify)</x:v>
      </x:c>
      <x:c r="AH696" s="9" t="str">
        <x:v>Yes (GOG, 2024)</x:v>
      </x:c>
      <x:c r="AI696" s="9" t="str">
        <x:v>Easy</x:v>
      </x:c>
      <x:c r="AJ696" s="9" t="str">
        <x:v>GOG re-release (2024)</x:v>
      </x:c>
      <x:c r="AK696" s="9" t="str">
        <x:v>MobyGames DOS/Windows score not visible in search results (no snippets); left blank. PriceCharting PC price not fetched: the shared WebFetch budget was exhausted for this batch; price null (re-run price pull).</x:v>
      </x:c>
      <x:c r="AL696" s="10"/>
      <x:c r="AM696" s="10" t="n">
        <x:v>280</x:v>
      </x:c>
      <x:c r="AN696" s="10" t="n">
        <x:v>725</x:v>
      </x:c>
      <x:c r="AO696" s="9" t="str">
        <x:v>2026-10-24</x:v>
      </x:c>
      <x:c r="AP696" s="11" t="str">
        <x:f>HYPERLINK("https://www.pricecharting.com/game/pc-games/resident-evil-big-box","PriceCharting")</x:f>
        <x:v>PriceCharting</x:v>
      </x:c>
      <x:c r="AQ696" s="9" t="n">
        <x:v>9.99</x:v>
      </x:c>
      <x:c r="AR696" s="11" t="str">
        <x:v>GOG</x:v>
      </x:c>
      <x:c r="AS696" s="9" t="str">
        <x:f>HYPERLINK("https://www.gog.com/en/game/resident_evil","Store")</x:f>
        <x:v>Store</x:v>
      </x:c>
      <x:c r="AT696" s="9" t="str">
        <x:v>2026-10-24</x:v>
      </x:c>
      <x:c r="AU696" s="9"/>
      <x:c r="AV696" s="9"/>
      <x:c r="AW696" s="9"/>
      <x:c r="AX696" s="9"/>
      <x:c r="AY696" s="9"/>
      <x:c r="AZ696" s="9"/>
      <x:c r="BA696" s="11" t="str">
        <x:f>HYPERLINK("https://www.mobygames.com/game/1195/resident-evil/","MobyGames")</x:f>
        <x:v>MobyGames</x:v>
      </x:c>
      <x:c r="BB696" s="9" t="str">
        <x:v>80%</x:v>
      </x:c>
      <x:c r="BC696" s="9" t="str">
        <x:v>GameRankings, 5 reviews</x:v>
      </x:c>
      <x:c r="BD696" s="9" t="str">
        <x:f>HYPERLINK("https://web.archive.org/web/20191209011005id_/https://www.gamerankings.com/pc/198453-resident-evil/","Source")</x:f>
        <x:v>Source</x:v>
      </x:c>
      <x:c r="BE696" s="11" t="str">
        <x:f>HYPERLINK("https://en.wikipedia.org/wiki/Resident_Evil_(1996_video_game)","Wikipedia")</x:f>
        <x:v>Wikipedia</x:v>
      </x:c>
      <x:c r="BF696" s="11" t="str">
        <x:f>HYPERLINK("https://backloggd.com/search/games/Resident%20Evil/","Backloggd")</x:f>
        <x:v>Backloggd</x:v>
      </x:c>
      <x:c r="BG696" s="9"/>
      <x:c r="BH696" s="9"/>
      <x:c r="BI696" s="12" t="str">
        <x:v>No</x:v>
      </x:c>
      <x:c r="BJ696" s="12" t="str"/>
      <x:c r="BK696" s="12" t="str">
        <x:v>No</x:v>
      </x:c>
      <x:c r="BL696" s="12" t="str"/>
      <x:c r="BM696" s="12" t="str"/>
      <x:c r="BN696" s="12" t="str"/>
      <x:c r="BO696" s="12" t="str"/>
      <x:c r="BP696" s="12" t="str"/>
      <x:c r="BQ696" s="12" t="str"/>
    </x:row>
    <x:row r="697">
      <x:c r="A697" s="9" t="str">
        <x:v>pc-167</x:v>
      </x:c>
      <x:c r="B697" s="9" t="str">
        <x:v>fear-effect</x:v>
      </x:c>
      <x:c r="C697" s="9" t="str">
        <x:v>PC</x:v>
      </x:c>
      <x:c r="D697" s="9" t="str">
        <x:v>Fear Effect</x:v>
      </x:c>
      <x:c r="E697" s="9" t="str"/>
      <x:c r="F697" s="9" t="str">
        <x:v>Kronos Digital Entertainment</x:v>
      </x:c>
      <x:c r="G697" s="9" t="str">
        <x:v>Eidos Interactive</x:v>
      </x:c>
      <x:c r="H697" s="9" t="n">
        <x:v>2000</x:v>
      </x:c>
      <x:c r="I697" s="9" t="str">
        <x:v>Yes</x:v>
      </x:c>
      <x:c r="J697" s="9" t="str">
        <x:v>No</x:v>
      </x:c>
      <x:c r="K697" s="9" t="str">
        <x:v>Yes</x:v>
      </x:c>
      <x:c r="L697" s="9" t="str">
        <x:v>No</x:v>
      </x:c>
      <x:c r="M697" s="9" t="str">
        <x:v>Action adventure</x:v>
      </x:c>
      <x:c r="N697" s="9" t="str">
        <x:v>Pre-rendered CG</x:v>
      </x:c>
      <x:c r="O697" s="9" t="n">
        <x:v>5</x:v>
      </x:c>
      <x:c r="P697" s="9" t="str">
        <x:v>Pre-rendered CG</x:v>
      </x:c>
      <x:c r="Q697" s="9" t="str">
        <x:v>Released</x:v>
      </x:c>
      <x:c r="R697" s="9" t="str">
        <x:v>PlayStation original (2000)</x:v>
      </x:c>
      <x:c r="S697" s="9" t="str">
        <x:v>PlayStation</x:v>
      </x:c>
      <x:c r="T697" s="9" t="str">
        <x:v>—</x:v>
      </x:c>
      <x:c r="U697" s="9" t="n">
        <x:v>4</x:v>
      </x:c>
      <x:c r="V697" s="9" t="str">
        <x:v>Yes</x:v>
      </x:c>
      <x:c r="W697" s="9" t="str">
        <x:v>Pentium II 233, 32 MB RAM, 8x CD-ROM, Direct3D card; Win95/98</x:v>
      </x:c>
      <x:c r="X697" s="9" t="str">
        <x:v>Low</x:v>
      </x:c>
      <x:c r="Y697" s="9" t="str"/>
      <x:c r="Z697" s="9" t="str">
        <x:v>8–10 hr</x:v>
      </x:c>
      <x:c r="AA697" s="9" t="str">
        <x:v>Every background is a looping FMV clip behind cel-shaded characters: an FMV game in third-person-action clothing.</x:v>
      </x:c>
      <x:c r="AB697" s="9" t="str">
        <x:v>None known</x:v>
      </x:c>
      <x:c r="AC697" s="9" t="str">
        <x:v>Full-screen streamed looping video backgrounds (verify PC resolution)</x:v>
      </x:c>
      <x:c r="AD697" s="9" t="str">
        <x:v>Hard; instant deaths</x:v>
      </x:c>
      <x:c r="AE697" s="9" t="str">
        <x:v>Single ending (bad endings on some deaths, verify)</x:v>
      </x:c>
      <x:c r="AF697" s="9" t="str">
        <x:v>Every background is a looping FMV clip, which is why it needed four discs.</x:v>
      </x:c>
      <x:c r="AG697" s="9" t="str">
        <x:v>4-CD box</x:v>
      </x:c>
      <x:c r="AH697" s="9" t="str">
        <x:v>No</x:v>
      </x:c>
      <x:c r="AI697" s="9" t="str">
        <x:v>Easy</x:v>
      </x:c>
      <x:c r="AJ697" s="9" t="str">
        <x:v>Original discs on a Windows 98 PC or VM (verify compatibility)</x:v>
      </x:c>
      <x:c r="AK697" s="9" t="str">
        <x:v>MobyGames DOS/Windows score not visible in search results (no snippets); left blank. PriceCharting PC price not fetched: the shared WebFetch budget was exhausted for this batch; price null (re-run price pull).</x:v>
      </x:c>
      <x:c r="AL697" s="10"/>
      <x:c r="AM697" s="10"/>
      <x:c r="AN697" s="10"/>
      <x:c r="AO697" s="9"/>
      <x:c r="AP697" s="11" t="str">
        <x:f>HYPERLINK("https://www.pricecharting.com/search-products?q=Fear+Effect+pc+games&amp;type=prices","PriceCharting")</x:f>
        <x:v>PriceCharting</x:v>
      </x:c>
      <x:c r="AQ697" s="9" t="n">
        <x:v>9.99</x:v>
      </x:c>
      <x:c r="AR697" s="11" t="str">
        <x:v>Steam</x:v>
      </x:c>
      <x:c r="AS697" s="9" t="str">
        <x:f>HYPERLINK("https://store.steampowered.com/app/3504570/","Store")</x:f>
        <x:v>Store</x:v>
      </x:c>
      <x:c r="AT697" s="9" t="str">
        <x:v>2026-10-25</x:v>
      </x:c>
      <x:c r="AU697" s="9"/>
      <x:c r="AV697" s="9"/>
      <x:c r="AW697" s="9"/>
      <x:c r="AX697" s="9"/>
      <x:c r="AY697" s="9"/>
      <x:c r="AZ697" s="9"/>
      <x:c r="BA697" s="11" t="str">
        <x:f>HYPERLINK("https://www.mobygames.com/game/3681/fear-effect/","MobyGames")</x:f>
        <x:v>MobyGames</x:v>
      </x:c>
      <x:c r="BB697" s="9"/>
      <x:c r="BC697" s="9"/>
      <x:c r="BD697" s="9"/>
      <x:c r="BE697" s="11" t="str">
        <x:f>HYPERLINK("https://en.wikipedia.org/wiki/Fear_Effect","Wikipedia")</x:f>
        <x:v>Wikipedia</x:v>
      </x:c>
      <x:c r="BF697" s="11" t="str">
        <x:f>HYPERLINK("https://backloggd.com/search/games/Fear%20Effect/","Backloggd")</x:f>
        <x:v>Backloggd</x:v>
      </x:c>
      <x:c r="BG697" s="9"/>
      <x:c r="BH697" s="9"/>
      <x:c r="BI697" s="12" t="str">
        <x:v>No</x:v>
      </x:c>
      <x:c r="BJ697" s="12" t="str"/>
      <x:c r="BK697" s="12" t="str">
        <x:v>No</x:v>
      </x:c>
      <x:c r="BL697" s="12" t="str"/>
      <x:c r="BM697" s="12" t="str"/>
      <x:c r="BN697" s="12" t="str"/>
      <x:c r="BO697" s="12" t="str"/>
      <x:c r="BP697" s="12" t="str"/>
      <x:c r="BQ697" s="12" t="str"/>
    </x:row>
    <x:row r="698">
      <x:c r="A698" s="9" t="str">
        <x:v>pc-168</x:v>
      </x:c>
      <x:c r="B698" s="9" t="str">
        <x:v>heart-of-darkness</x:v>
      </x:c>
      <x:c r="C698" s="9" t="str">
        <x:v>PC</x:v>
      </x:c>
      <x:c r="D698" s="9" t="str">
        <x:v>Heart of Darkness</x:v>
      </x:c>
      <x:c r="E698" s="9" t="str"/>
      <x:c r="F698" s="9" t="str">
        <x:v>Amazing Studio</x:v>
      </x:c>
      <x:c r="G698" s="9" t="str">
        <x:v>Interplay (NA), Infogrames (EU)</x:v>
      </x:c>
      <x:c r="H698" s="9" t="n">
        <x:v>1998</x:v>
      </x:c>
      <x:c r="I698" s="9" t="str">
        <x:v>Yes</x:v>
      </x:c>
      <x:c r="J698" s="9" t="str">
        <x:v>No</x:v>
      </x:c>
      <x:c r="K698" s="9" t="str">
        <x:v>Yes</x:v>
      </x:c>
      <x:c r="L698" s="9" t="str">
        <x:v>No</x:v>
      </x:c>
      <x:c r="M698" s="9" t="str">
        <x:v>Cinematic platformer</x:v>
      </x:c>
      <x:c r="N698" s="9" t="str">
        <x:v>Pre-rendered CG</x:v>
      </x:c>
      <x:c r="O698" s="9" t="n">
        <x:v>3</x:v>
      </x:c>
      <x:c r="P698" s="9" t="str">
        <x:v>Cutscenes only</x:v>
      </x:c>
      <x:c r="Q698" s="9" t="str">
        <x:v>Released</x:v>
      </x:c>
      <x:c r="R698" s="9" t="str">
        <x:v>PC/PlayStation original</x:v>
      </x:c>
      <x:c r="S698" s="9" t="str">
        <x:v>PlayStation</x:v>
      </x:c>
      <x:c r="T698" s="9" t="str">
        <x:v>—</x:v>
      </x:c>
      <x:c r="U698" s="9" t="n">
        <x:v>2</x:v>
      </x:c>
      <x:c r="V698" s="9" t="str">
        <x:v>Yes</x:v>
      </x:c>
      <x:c r="W698" s="9" t="str">
        <x:v>Pentium 90, 16 MB RAM, 4x CD-ROM, SVGA; Win95</x:v>
      </x:c>
      <x:c r="X698" s="9" t="str">
        <x:v>Low</x:v>
      </x:c>
      <x:c r="Y698" s="9" t="str"/>
      <x:c r="Z698" s="9" t="str">
        <x:v>3–5 hr</x:v>
      </x:c>
      <x:c r="AA698" s="9" t="str">
        <x:v>Eric Chahi's alumni spent six years on a boy-and-dog platformer stitched together by half an hour of CG movies.</x:v>
      </x:c>
      <x:c r="AB698" s="9" t="str">
        <x:v>None known</x:v>
      </x:c>
      <x:c r="AC698" s="9" t="str">
        <x:v>Full-screen CG movies, roughly 30 minutes total (verify)</x:v>
      </x:c>
      <x:c r="AD698" s="9" t="str">
        <x:v>Hard; trial-and-error deaths</x:v>
      </x:c>
      <x:c r="AE698" s="9" t="str">
        <x:v>Single ending</x:v>
      </x:c>
      <x:c r="AF698" s="9" t="str">
        <x:v>Six years in development; the orchestral score was recorded with the Sinfonia of London under Bruce Broughton.</x:v>
      </x:c>
      <x:c r="AG698" s="9" t="str">
        <x:v>2-CD box (verify disc count); Coca-Cola special edition (FR, 1999)</x:v>
      </x:c>
      <x:c r="AH698" s="9" t="str">
        <x:v>No</x:v>
      </x:c>
      <x:c r="AI698" s="9" t="str">
        <x:v>Easy</x:v>
      </x:c>
      <x:c r="AJ698" s="9" t="str">
        <x:v>Original discs on a Windows 98 PC or VM</x:v>
      </x:c>
      <x:c r="AK698" s="9" t="str">
        <x:v>MobyGames DOS/Windows score not visible in search results (no snippets); left blank. PriceCharting PC price not fetched: the shared WebFetch budget was exhausted for this batch; price null (re-run price pull).</x:v>
      </x:c>
      <x:c r="AL698" s="10" t="n">
        <x:v>14</x:v>
      </x:c>
      <x:c r="AM698" s="10" t="n">
        <x:v>43.81</x:v>
      </x:c>
      <x:c r="AN698" s="10" t="n">
        <x:v>97.6</x:v>
      </x:c>
      <x:c r="AO698" s="9" t="str">
        <x:v>2026-10-24</x:v>
      </x:c>
      <x:c r="AP698" s="11" t="str">
        <x:f>HYPERLINK("https://www.pricecharting.com/game/pc-games/heart-of-darkness","PriceCharting")</x:f>
        <x:v>PriceCharting</x:v>
      </x:c>
      <x:c r="AQ698" s="9"/>
      <x:c r="AR698" s="9"/>
      <x:c r="AS698" s="9"/>
      <x:c r="AT698" s="9"/>
      <x:c r="AU698" s="9"/>
      <x:c r="AV698" s="9"/>
      <x:c r="AW698" s="9"/>
      <x:c r="AX698" s="9"/>
      <x:c r="AY698" s="9" t="str">
        <x:v>74%</x:v>
      </x:c>
      <x:c r="AZ698" s="9" t="str">
        <x:v>4.0</x:v>
      </x:c>
      <x:c r="BA698" s="11" t="str">
        <x:f>HYPERLINK("https://www.mobygames.com/game/windows/heart-of-darkness","MobyGames")</x:f>
        <x:v>MobyGames</x:v>
      </x:c>
      <x:c r="BB698" s="9"/>
      <x:c r="BC698" s="9"/>
      <x:c r="BD698" s="9"/>
      <x:c r="BE698" s="11" t="str">
        <x:f>HYPERLINK("https://en.wikipedia.org/wiki/Heart_of_Darkness_(video_game)","Wikipedia")</x:f>
        <x:v>Wikipedia</x:v>
      </x:c>
      <x:c r="BF698" s="11" t="str">
        <x:f>HYPERLINK("https://backloggd.com/search/games/Heart%20of%20Darkness/","Backloggd")</x:f>
        <x:v>Backloggd</x:v>
      </x:c>
      <x:c r="BG698" s="9"/>
      <x:c r="BH698" s="9"/>
      <x:c r="BI698" s="12" t="str">
        <x:v>No</x:v>
      </x:c>
      <x:c r="BJ698" s="12" t="str"/>
      <x:c r="BK698" s="12" t="str">
        <x:v>No</x:v>
      </x:c>
      <x:c r="BL698" s="12" t="str"/>
      <x:c r="BM698" s="12" t="str"/>
      <x:c r="BN698" s="12" t="str"/>
      <x:c r="BO698" s="12" t="str"/>
      <x:c r="BP698" s="12" t="str"/>
      <x:c r="BQ698" s="12" t="str"/>
    </x:row>
    <x:row r="699">
      <x:c r="A699" s="9" t="str">
        <x:v>pc-169</x:v>
      </x:c>
      <x:c r="B699" s="9" t="str">
        <x:v>discworld-ii-missing-presumed</x:v>
      </x:c>
      <x:c r="C699" s="9" t="str">
        <x:v>PC</x:v>
      </x:c>
      <x:c r="D699" s="9" t="str">
        <x:v>Discworld II: Missing Presumed...!?</x:v>
      </x:c>
      <x:c r="E699" s="9" t="str">
        <x:v>Discworld II: Mortality Bytes! (NA)</x:v>
      </x:c>
      <x:c r="F699" s="9" t="str">
        <x:v>Perfect 10 Productions</x:v>
      </x:c>
      <x:c r="G699" s="9" t="str">
        <x:v>Psygnosis</x:v>
      </x:c>
      <x:c r="H699" s="9" t="n">
        <x:v>1996</x:v>
      </x:c>
      <x:c r="I699" s="9" t="str">
        <x:v>Yes</x:v>
      </x:c>
      <x:c r="J699" s="9" t="str">
        <x:v>No</x:v>
      </x:c>
      <x:c r="K699" s="9" t="str">
        <x:v>Yes</x:v>
      </x:c>
      <x:c r="L699" s="9" t="str">
        <x:v>No</x:v>
      </x:c>
      <x:c r="M699" s="9" t="str">
        <x:v>Point-and-click adventure</x:v>
      </x:c>
      <x:c r="N699" s="9" t="str">
        <x:v>Animated</x:v>
      </x:c>
      <x:c r="O699" s="9" t="n">
        <x:v>2</x:v>
      </x:c>
      <x:c r="P699" s="9" t="str">
        <x:v>Cutscenes only</x:v>
      </x:c>
      <x:c r="Q699" s="9" t="str">
        <x:v>Released</x:v>
      </x:c>
      <x:c r="R699" s="9" t="str">
        <x:v>Terry Pratchett's Discworld novels</x:v>
      </x:c>
      <x:c r="S699" s="9" t="str">
        <x:v>PlayStation, Saturn</x:v>
      </x:c>
      <x:c r="T699" s="9" t="str">
        <x:v>Eric Idle (Rincewind), Tony Robinson, Nigel Planer, Kate Robbins (voices)</x:v>
      </x:c>
      <x:c r="U699" s="9" t="n">
        <x:v>2</x:v>
      </x:c>
      <x:c r="V699" s="9" t="str">
        <x:v>Yes</x:v>
      </x:c>
      <x:c r="W699" s="9" t="str">
        <x:v>486DX2/66, 8 MB RAM, 2x CD-ROM, SVGA; DOS &amp; Win95</x:v>
      </x:c>
      <x:c r="X699" s="9" t="str">
        <x:v>Low</x:v>
      </x:c>
      <x:c r="Y699" s="9" t="str"/>
      <x:c r="Z699" s="9" t="str">
        <x:v>10–15 hr</x:v>
      </x:c>
      <x:c r="AA699" s="9" t="str">
        <x:v>Eric Idle voices Rincewind in a hand-drawn cartoon adventure with animated movie cutscenes.</x:v>
      </x:c>
      <x:c r="AB699" s="9" t="str">
        <x:v>None known</x:v>
      </x:c>
      <x:c r="AC699" s="9" t="str">
        <x:v>Hand-drawn animated cutscenes, SVGA (verify)</x:v>
      </x:c>
      <x:c r="AD699" s="9" t="str">
        <x:v>Hard; obscure puzzles</x:v>
      </x:c>
      <x:c r="AE699" s="9" t="str">
        <x:v>Single ending</x:v>
      </x:c>
      <x:c r="AF699" s="9" t="str">
        <x:v>The North American release was retitled Mortality Bytes!</x:v>
      </x:c>
      <x:c r="AG699" s="9" t="str">
        <x:v>UK and NA (Mortality Bytes!) boxes</x:v>
      </x:c>
      <x:c r="AH699" s="9" t="str">
        <x:v>No</x:v>
      </x:c>
      <x:c r="AI699" s="9" t="str">
        <x:v>Easy</x:v>
      </x:c>
      <x:c r="AJ699" s="9" t="str">
        <x:v>Original discs in DOSBox or ScummVM (verify ScummVM support)</x:v>
      </x:c>
      <x:c r="AK699" s="9" t="str">
        <x:v>MobyGames DOS/Windows score not visible in search results (no snippets); left blank. PriceCharting PC price not fetched: the shared WebFetch budget was exhausted for this batch; price null (re-run price pull).</x:v>
      </x:c>
      <x:c r="AL699" s="10" t="n">
        <x:v>22.06</x:v>
      </x:c>
      <x:c r="AM699" s="10" t="n">
        <x:v>110.38</x:v>
      </x:c>
      <x:c r="AN699" s="10" t="n">
        <x:v>299.99</x:v>
      </x:c>
      <x:c r="AO699" s="9" t="str">
        <x:v>2026-10-24</x:v>
      </x:c>
      <x:c r="AP699" s="11" t="str">
        <x:f>HYPERLINK("https://www.pricecharting.com/game/pc-games/discworld-ii-mortality-bytes","PriceCharting")</x:f>
        <x:v>PriceCharting</x:v>
      </x:c>
      <x:c r="AQ699" s="9"/>
      <x:c r="AR699" s="9"/>
      <x:c r="AS699" s="9"/>
      <x:c r="AT699" s="9"/>
      <x:c r="AU699" s="9"/>
      <x:c r="AV699" s="9"/>
      <x:c r="AW699" s="9"/>
      <x:c r="AX699" s="9"/>
      <x:c r="AY699" s="9" t="str">
        <x:v>81%</x:v>
      </x:c>
      <x:c r="AZ699" s="9" t="str">
        <x:v>3.9</x:v>
      </x:c>
      <x:c r="BA699" s="11" t="str">
        <x:f>HYPERLINK("https://www.mobygames.com/game/dos/discworld-ii-mortality-bytes","MobyGames")</x:f>
        <x:v>MobyGames</x:v>
      </x:c>
      <x:c r="BB699" s="9"/>
      <x:c r="BC699" s="9"/>
      <x:c r="BD699" s="9"/>
      <x:c r="BE699" s="11" t="str">
        <x:f>HYPERLINK("https://en.wikipedia.org/wiki/Discworld_II:_Missing_Presumed...!%3F","Wikipedia")</x:f>
        <x:v>Wikipedia</x:v>
      </x:c>
      <x:c r="BF699" s="11" t="str">
        <x:f>HYPERLINK("https://backloggd.com/search/games/Discworld%20II%3A%20Missing%20Presumed...%21%3F/","Backloggd")</x:f>
        <x:v>Backloggd</x:v>
      </x:c>
      <x:c r="BG699" s="9"/>
      <x:c r="BH699" s="9"/>
      <x:c r="BI699" s="12" t="str">
        <x:v>No</x:v>
      </x:c>
      <x:c r="BJ699" s="12" t="str"/>
      <x:c r="BK699" s="12" t="str">
        <x:v>No</x:v>
      </x:c>
      <x:c r="BL699" s="12" t="str"/>
      <x:c r="BM699" s="12" t="str"/>
      <x:c r="BN699" s="12" t="str"/>
      <x:c r="BO699" s="12" t="str"/>
      <x:c r="BP699" s="12" t="str"/>
      <x:c r="BQ699" s="12" t="str"/>
    </x:row>
    <x:row r="700">
      <x:c r="A700" s="9" t="str">
        <x:v>pc-170</x:v>
      </x:c>
      <x:c r="B700" s="9" t="str">
        <x:v>broken-sword-the-shadow-of-the-templars</x:v>
      </x:c>
      <x:c r="C700" s="9" t="str">
        <x:v>PC</x:v>
      </x:c>
      <x:c r="D700" s="9" t="str">
        <x:v>Broken Sword: The Shadow of the Templars</x:v>
      </x:c>
      <x:c r="E700" s="9" t="str">
        <x:v>Circle of Blood (NA)</x:v>
      </x:c>
      <x:c r="F700" s="9" t="str">
        <x:v>Revolution Software</x:v>
      </x:c>
      <x:c r="G700" s="9" t="str">
        <x:v>Virgin Interactive</x:v>
      </x:c>
      <x:c r="H700" s="9" t="n">
        <x:v>1996</x:v>
      </x:c>
      <x:c r="I700" s="9" t="str">
        <x:v>Yes</x:v>
      </x:c>
      <x:c r="J700" s="9" t="str">
        <x:v>No</x:v>
      </x:c>
      <x:c r="K700" s="9" t="str">
        <x:v>Yes</x:v>
      </x:c>
      <x:c r="L700" s="9" t="str">
        <x:v>No</x:v>
      </x:c>
      <x:c r="M700" s="9" t="str">
        <x:v>Point-and-click adventure</x:v>
      </x:c>
      <x:c r="N700" s="9" t="str">
        <x:v>Animated</x:v>
      </x:c>
      <x:c r="O700" s="9" t="n">
        <x:v>2</x:v>
      </x:c>
      <x:c r="P700" s="9" t="str">
        <x:v>Cutscenes only</x:v>
      </x:c>
      <x:c r="Q700" s="9" t="str">
        <x:v>Released</x:v>
      </x:c>
      <x:c r="R700" s="9" t="str">
        <x:v>PC original</x:v>
      </x:c>
      <x:c r="S700" s="9" t="str">
        <x:v>PlayStation; Director's Cut on Wii, DS, iOS, PC; Reforged 2024</x:v>
      </x:c>
      <x:c r="T700" s="9" t="str">
        <x:v>Rolf Saxon (George Stobbart), Hazel Ellerby (Nico Collard)</x:v>
      </x:c>
      <x:c r="U700" s="9" t="n">
        <x:v>2</x:v>
      </x:c>
      <x:c r="V700" s="9" t="str">
        <x:v>Yes</x:v>
      </x:c>
      <x:c r="W700" s="9" t="str">
        <x:v>486DX/66, 8 MB RAM, 2x CD-ROM, SVGA; DOS &amp; Win95</x:v>
      </x:c>
      <x:c r="X700" s="9" t="str">
        <x:v>Low</x:v>
      </x:c>
      <x:c r="Y700" s="9" t="str"/>
      <x:c r="Z700" s="9" t="str">
        <x:v>10–12 hr</x:v>
      </x:c>
      <x:c r="AA700" s="9" t="str">
        <x:v>Don Bluth-style animated cutscenes and Rolf Saxon's George in the best-loved 90s Templar conspiracy.</x:v>
      </x:c>
      <x:c r="AB700" s="9" t="str">
        <x:v>None known</x:v>
      </x:c>
      <x:c r="AC700" s="9" t="str">
        <x:v>Hand-drawn animated cutscenes, 640x480 (verify)</x:v>
      </x:c>
      <x:c r="AD700" s="9" t="str">
        <x:v>Moderate (the goat)</x:v>
      </x:c>
      <x:c r="AE700" s="9" t="str">
        <x:v>Single ending</x:v>
      </x:c>
      <x:c r="AF700" s="9" t="str">
        <x:v>Sold in North America as Circle of Blood.</x:v>
      </x:c>
      <x:c r="AG700" s="9" t="str">
        <x:v>UK Broken Sword / NA Circle of Blood boxes; Director's Cut (2009, separate)</x:v>
      </x:c>
      <x:c r="AH700" s="9" t="str">
        <x:v>Yes (GOG, Steam: Director's Cut and Reforged; original via ScummVM)</x:v>
      </x:c>
      <x:c r="AI700" s="9" t="str">
        <x:v>Easy</x:v>
      </x:c>
      <x:c r="AJ700" s="9" t="str">
        <x:v>GOG/Steam, or original discs in ScummVM</x:v>
      </x:c>
      <x:c r="AK700" s="9" t="str">
        <x:v>MobyGames DOS/Windows score not visible in search results (no snippets); left blank. PriceCharting PC price not fetched: the shared WebFetch budget was exhausted for this batch; price null (re-run price pull).</x:v>
      </x:c>
      <x:c r="AL700" s="10" t="n">
        <x:v>12.99</x:v>
      </x:c>
      <x:c r="AM700" s="10" t="n">
        <x:v>86.86</x:v>
      </x:c>
      <x:c r="AN700" s="10" t="n">
        <x:v>174</x:v>
      </x:c>
      <x:c r="AO700" s="9" t="str">
        <x:v>2026-10-24</x:v>
      </x:c>
      <x:c r="AP700" s="11" t="str">
        <x:f>HYPERLINK("https://www.pricecharting.com/game/pc-games/broken-sword-the-shadow-of-the-templars","PriceCharting")</x:f>
        <x:v>PriceCharting</x:v>
      </x:c>
      <x:c r="AQ700" s="9" t="n">
        <x:v>0</x:v>
      </x:c>
      <x:c r="AR700" s="11" t="str">
        <x:v>Steam</x:v>
      </x:c>
      <x:c r="AS700" s="9" t="str">
        <x:f>HYPERLINK("https://store.steampowered.com/app/3361990/","Store")</x:f>
        <x:v>Store</x:v>
      </x:c>
      <x:c r="AT700" s="9" t="str">
        <x:v>2026-10-24</x:v>
      </x:c>
      <x:c r="AU700" s="9"/>
      <x:c r="AV700" s="9"/>
      <x:c r="AW700" s="9"/>
      <x:c r="AX700" s="9"/>
      <x:c r="AY700" s="9" t="str">
        <x:v>86%</x:v>
      </x:c>
      <x:c r="AZ700" s="9" t="str">
        <x:v>4.1</x:v>
      </x:c>
      <x:c r="BA700" s="11" t="str">
        <x:f>HYPERLINK("https://www.mobygames.com/game/dos/circle-of-blood","MobyGames")</x:f>
        <x:v>MobyGames</x:v>
      </x:c>
      <x:c r="BB700" s="9"/>
      <x:c r="BC700" s="9"/>
      <x:c r="BD700" s="9"/>
      <x:c r="BE700" s="11" t="str">
        <x:f>HYPERLINK("https://en.wikipedia.org/wiki/Broken_Sword:_The_Shadow_of_the_Templars","Wikipedia")</x:f>
        <x:v>Wikipedia</x:v>
      </x:c>
      <x:c r="BF700" s="11" t="str">
        <x:f>HYPERLINK("https://backloggd.com/search/games/Broken%20Sword%3A%20The%20Shadow%20of%20the%20Templars/","Backloggd")</x:f>
        <x:v>Backloggd</x:v>
      </x:c>
      <x:c r="BG700" s="9"/>
      <x:c r="BH700" s="9"/>
      <x:c r="BI700" s="12" t="str">
        <x:v>No</x:v>
      </x:c>
      <x:c r="BJ700" s="12" t="str"/>
      <x:c r="BK700" s="12" t="str">
        <x:v>No</x:v>
      </x:c>
      <x:c r="BL700" s="12" t="str"/>
      <x:c r="BM700" s="12" t="str"/>
      <x:c r="BN700" s="12" t="str"/>
      <x:c r="BO700" s="12" t="str"/>
      <x:c r="BP700" s="12" t="str"/>
      <x:c r="BQ700" s="12" t="str"/>
    </x:row>
    <x:row r="701">
      <x:c r="A701" s="9" t="str">
        <x:v>pc-171</x:v>
      </x:c>
      <x:c r="B701" s="9" t="str">
        <x:v>atlantis-the-lost-tales</x:v>
      </x:c>
      <x:c r="C701" s="9" t="str">
        <x:v>PC</x:v>
      </x:c>
      <x:c r="D701" s="9" t="str">
        <x:v>Atlantis: The Lost Tales</x:v>
      </x:c>
      <x:c r="E701" s="9" t="str">
        <x:v>Atlantis: Secrets d'un monde oublié (FR)</x:v>
      </x:c>
      <x:c r="F701" s="9" t="str">
        <x:v>Cryo Interactive</x:v>
      </x:c>
      <x:c r="G701" s="9" t="str">
        <x:v>Cryo (EU), Interplay (NA)</x:v>
      </x:c>
      <x:c r="H701" s="9" t="n">
        <x:v>1997</x:v>
      </x:c>
      <x:c r="I701" s="9" t="str">
        <x:v>Yes</x:v>
      </x:c>
      <x:c r="J701" s="9" t="str">
        <x:v>No</x:v>
      </x:c>
      <x:c r="K701" s="9" t="str">
        <x:v>Yes</x:v>
      </x:c>
      <x:c r="L701" s="9" t="str">
        <x:v>No</x:v>
      </x:c>
      <x:c r="M701" s="9" t="str">
        <x:v>First-person adventure</x:v>
      </x:c>
      <x:c r="N701" s="9" t="str">
        <x:v>Pre-rendered CG</x:v>
      </x:c>
      <x:c r="O701" s="9" t="n">
        <x:v>4</x:v>
      </x:c>
      <x:c r="P701" s="9" t="str">
        <x:v>FMV adventure</x:v>
      </x:c>
      <x:c r="Q701" s="9" t="str">
        <x:v>Released</x:v>
      </x:c>
      <x:c r="R701" s="9" t="str">
        <x:v>PC original</x:v>
      </x:c>
      <x:c r="S701" s="9" t="str">
        <x:v>PlayStation, Saturn</x:v>
      </x:c>
      <x:c r="T701" s="9" t="str">
        <x:v>—</x:v>
      </x:c>
      <x:c r="U701" s="9" t="n">
        <x:v>4</x:v>
      </x:c>
      <x:c r="V701" s="9" t="str">
        <x:v>Yes</x:v>
      </x:c>
      <x:c r="W701" s="9" t="str">
        <x:v>Pentium 75, 16 MB RAM, 4x CD-ROM, SVGA; DOS &amp; Win95</x:v>
      </x:c>
      <x:c r="X701" s="9" t="str">
        <x:v>Low</x:v>
      </x:c>
      <x:c r="Y701" s="9" t="str"/>
      <x:c r="Z701" s="9" t="str">
        <x:v>8–12 hr</x:v>
      </x:c>
      <x:c r="AA701" s="9" t="str">
        <x:v>Cryo's Omni3D debut: lavish CG cutscenes and acted facial animation around a mythic Atlantis.</x:v>
      </x:c>
      <x:c r="AB701" s="9" t="str">
        <x:v>None known</x:v>
      </x:c>
      <x:c r="AC701" s="9" t="str">
        <x:v>Panoramic pre-rendered nodes with CG FMV dialogue scenes</x:v>
      </x:c>
      <x:c r="AD701" s="9" t="str">
        <x:v>Moderate; some timed deaths</x:v>
      </x:c>
      <x:c r="AE701" s="9" t="str">
        <x:v>Single ending</x:v>
      </x:c>
      <x:c r="AF701" s="9" t="str">
        <x:v>Cryo's Omni3D engine debuted here; the game won awards for its facial animation.</x:v>
      </x:c>
      <x:c r="AG701" s="9" t="str">
        <x:v>4-CD box; German Deluxe Edition</x:v>
      </x:c>
      <x:c r="AH701" s="9" t="str">
        <x:v>Yes (GOG, Steam)</x:v>
      </x:c>
      <x:c r="AI701" s="9" t="str">
        <x:v>Easy</x:v>
      </x:c>
      <x:c r="AJ701" s="9" t="str">
        <x:v>GOG/Steam</x:v>
      </x:c>
      <x:c r="AK701" s="9" t="str">
        <x:v>MobyGames DOS/Windows score not visible in search results (no snippets); left blank. PriceCharting PC price not fetched: the shared WebFetch budget was exhausted for this batch; price null (re-run price pull).</x:v>
      </x:c>
      <x:c r="AL701" s="10" t="n">
        <x:v>3.5</x:v>
      </x:c>
      <x:c r="AM701" s="10" t="n">
        <x:v>12.73</x:v>
      </x:c>
      <x:c r="AN701" s="10" t="n">
        <x:v>22.5</x:v>
      </x:c>
      <x:c r="AO701" s="9" t="str">
        <x:v>2026-10-24</x:v>
      </x:c>
      <x:c r="AP701" s="11" t="str">
        <x:f>HYPERLINK("https://www.pricecharting.com/game/pc-games/atlantis-the-lost-tales","PriceCharting")</x:f>
        <x:v>PriceCharting</x:v>
      </x:c>
      <x:c r="AQ701" s="9" t="n">
        <x:v>0.59</x:v>
      </x:c>
      <x:c r="AR701" s="11" t="str">
        <x:v>GOG</x:v>
      </x:c>
      <x:c r="AS701" s="9" t="str">
        <x:f>HYPERLINK("https://www.gog.com/en/game/atlantis_the_lost_tales","Store")</x:f>
        <x:v>Store</x:v>
      </x:c>
      <x:c r="AT701" s="9" t="str">
        <x:v>2026-10-24</x:v>
      </x:c>
      <x:c r="AU701" s="9"/>
      <x:c r="AV701" s="9"/>
      <x:c r="AW701" s="9"/>
      <x:c r="AX701" s="9"/>
      <x:c r="AY701" s="9" t="str">
        <x:v>71%</x:v>
      </x:c>
      <x:c r="AZ701" s="9"/>
      <x:c r="BA701" s="11" t="str">
        <x:f>HYPERLINK("https://www.mobygames.com/game/dos/atlantis-the-lost-tales","MobyGames")</x:f>
        <x:v>MobyGames</x:v>
      </x:c>
      <x:c r="BB701" s="9"/>
      <x:c r="BC701" s="9"/>
      <x:c r="BD701" s="9"/>
      <x:c r="BE701" s="11" t="str">
        <x:f>HYPERLINK("https://en.wikipedia.org/wiki/Atlantis:_The_Lost_Tales","Wikipedia")</x:f>
        <x:v>Wikipedia</x:v>
      </x:c>
      <x:c r="BF701" s="11" t="str">
        <x:f>HYPERLINK("https://backloggd.com/search/games/Atlantis%3A%20The%20Lost%20Tales/","Backloggd")</x:f>
        <x:v>Backloggd</x:v>
      </x:c>
      <x:c r="BG701" s="9"/>
      <x:c r="BH701" s="9"/>
      <x:c r="BI701" s="12" t="str">
        <x:v>No</x:v>
      </x:c>
      <x:c r="BJ701" s="12" t="str"/>
      <x:c r="BK701" s="12" t="str">
        <x:v>No</x:v>
      </x:c>
      <x:c r="BL701" s="12" t="str"/>
      <x:c r="BM701" s="12" t="str"/>
      <x:c r="BN701" s="12" t="str"/>
      <x:c r="BO701" s="12" t="str"/>
      <x:c r="BP701" s="12" t="str"/>
      <x:c r="BQ701" s="12" t="str"/>
    </x:row>
    <x:row r="702">
      <x:c r="A702" s="9" t="str">
        <x:v>pc-172</x:v>
      </x:c>
      <x:c r="B702" s="9" t="str">
        <x:v>egypt-1156-bc-tomb-of-the-pharaoh</x:v>
      </x:c>
      <x:c r="C702" s="9" t="str">
        <x:v>PC</x:v>
      </x:c>
      <x:c r="D702" s="9" t="str">
        <x:v>Egypt 1156 B.C.: Tomb of the Pharaoh</x:v>
      </x:c>
      <x:c r="E702" s="9" t="str"/>
      <x:c r="F702" s="9" t="str">
        <x:v>Cryo Interactive</x:v>
      </x:c>
      <x:c r="G702" s="9" t="str">
        <x:v>Cryo / Canal+ Multimedia / Réunion des Musées Nationaux (EU), DreamCatcher (NA)</x:v>
      </x:c>
      <x:c r="H702" s="9" t="n">
        <x:v>1997</x:v>
      </x:c>
      <x:c r="I702" s="9" t="str">
        <x:v>Yes</x:v>
      </x:c>
      <x:c r="J702" s="9" t="str">
        <x:v>No</x:v>
      </x:c>
      <x:c r="K702" s="9" t="str">
        <x:v>Yes</x:v>
      </x:c>
      <x:c r="L702" s="9" t="str">
        <x:v>No</x:v>
      </x:c>
      <x:c r="M702" s="9" t="str">
        <x:v>First-person adventure</x:v>
      </x:c>
      <x:c r="N702" s="9" t="str">
        <x:v>Pre-rendered CG</x:v>
      </x:c>
      <x:c r="O702" s="9" t="n">
        <x:v>3</x:v>
      </x:c>
      <x:c r="P702" s="9" t="str">
        <x:v>FMV adventure</x:v>
      </x:c>
      <x:c r="Q702" s="9" t="str">
        <x:v>Released</x:v>
      </x:c>
      <x:c r="R702" s="9" t="str">
        <x:v>PC original (edutainment adventure with RMN)</x:v>
      </x:c>
      <x:c r="S702" s="9" t="str">
        <x:v>PlayStation</x:v>
      </x:c>
      <x:c r="T702" s="9" t="str">
        <x:v>—</x:v>
      </x:c>
      <x:c r="U702" s="9" t="n">
        <x:v>2</x:v>
      </x:c>
      <x:c r="V702" s="9" t="str">
        <x:v>Yes</x:v>
      </x:c>
      <x:c r="W702" s="9" t="str">
        <x:v>Pentium 90, 16 MB RAM, 4x CD-ROM; Win95 (verify)</x:v>
      </x:c>
      <x:c r="X702" s="9" t="str">
        <x:v>Low</x:v>
      </x:c>
      <x:c r="Y702" s="9" t="str"/>
      <x:c r="Z702" s="9" t="str">
        <x:v>5–8 hr</x:v>
      </x:c>
      <x:c r="AA702" s="9" t="str">
        <x:v>A murder mystery in ancient Thebes told in Cryo's panoramic CG with filmed-style CG dialogue.</x:v>
      </x:c>
      <x:c r="AB702" s="9" t="str">
        <x:v>None known</x:v>
      </x:c>
      <x:c r="AC702" s="9" t="str">
        <x:v>Panoramic nodes with CG dialogue cutscenes (verify)</x:v>
      </x:c>
      <x:c r="AD702" s="9" t="str">
        <x:v>Easy to moderate</x:v>
      </x:c>
      <x:c r="AE702" s="9" t="str">
        <x:v>Single ending</x:v>
      </x:c>
      <x:c r="AF702" s="9" t="str">
        <x:v>Co-produced with France's Réunion des Musées Nationaux as historical edutainment.</x:v>
      </x:c>
      <x:c r="AG702" s="9" t="str">
        <x:v>EU and NA releases</x:v>
      </x:c>
      <x:c r="AH702" s="9" t="str">
        <x:v>Yes (GOG, Steam) (verify)</x:v>
      </x:c>
      <x:c r="AI702" s="9" t="str">
        <x:v>Easy</x:v>
      </x:c>
      <x:c r="AJ702" s="9" t="str">
        <x:v>GOG/Steam (verify)</x:v>
      </x:c>
      <x:c r="AK702" s="9" t="str">
        <x:v>MobyGames DOS/Windows score not visible in search results (no snippets); left blank. PriceCharting PC price not fetched: the shared WebFetch budget was exhausted for this batch; price null (re-run price pull).</x:v>
      </x:c>
      <x:c r="AL702" s="10"/>
      <x:c r="AM702" s="10" t="n">
        <x:v>10.3</x:v>
      </x:c>
      <x:c r="AN702" s="10" t="n">
        <x:v>21.94</x:v>
      </x:c>
      <x:c r="AO702" s="9" t="str">
        <x:v>2026-10-24</x:v>
      </x:c>
      <x:c r="AP702" s="11" t="str">
        <x:f>HYPERLINK("https://www.pricecharting.com/game/pc-games/egypt-1156-bc-tomb-of-the-pharaoh","PriceCharting")</x:f>
        <x:v>PriceCharting</x:v>
      </x:c>
      <x:c r="AQ702" s="9"/>
      <x:c r="AR702" s="9"/>
      <x:c r="AS702" s="9"/>
      <x:c r="AT702" s="9"/>
      <x:c r="AU702" s="9"/>
      <x:c r="AV702" s="9"/>
      <x:c r="AW702" s="9"/>
      <x:c r="AX702" s="9"/>
      <x:c r="AY702" s="9" t="str">
        <x:v>64%</x:v>
      </x:c>
      <x:c r="AZ702" s="9" t="str">
        <x:v>2.7</x:v>
      </x:c>
      <x:c r="BA702" s="11" t="str">
        <x:f>HYPERLINK("https://www.mobygames.com/game/windows/egypt-1156-bc-tomb-of-the-pharaoh","MobyGames")</x:f>
        <x:v>MobyGames</x:v>
      </x:c>
      <x:c r="BB702" s="9"/>
      <x:c r="BC702" s="9"/>
      <x:c r="BD702" s="9"/>
      <x:c r="BE702" s="11" t="str">
        <x:f>HYPERLINK("https://en.wikipedia.org/wiki/Egypt_1156_B.C.","Wikipedia")</x:f>
        <x:v>Wikipedia</x:v>
      </x:c>
      <x:c r="BF702" s="11" t="str">
        <x:f>HYPERLINK("https://backloggd.com/search/games/Egypt%201156%20B.C.%3A%20Tomb%20of%20the%20Pharaoh/","Backloggd")</x:f>
        <x:v>Backloggd</x:v>
      </x:c>
      <x:c r="BG702" s="9"/>
      <x:c r="BH702" s="9"/>
      <x:c r="BI702" s="12" t="str">
        <x:v>No</x:v>
      </x:c>
      <x:c r="BJ702" s="12" t="str"/>
      <x:c r="BK702" s="12" t="str">
        <x:v>No</x:v>
      </x:c>
      <x:c r="BL702" s="12" t="str"/>
      <x:c r="BM702" s="12" t="str"/>
      <x:c r="BN702" s="12" t="str"/>
      <x:c r="BO702" s="12" t="str"/>
      <x:c r="BP702" s="12" t="str"/>
      <x:c r="BQ702" s="12" t="str"/>
    </x:row>
    <x:row r="703">
      <x:c r="A703" s="9" t="str">
        <x:v>pc-173</x:v>
      </x:c>
      <x:c r="B703" s="9" t="str">
        <x:v>chronicles-of-the-sword</x:v>
      </x:c>
      <x:c r="C703" s="9" t="str">
        <x:v>PC</x:v>
      </x:c>
      <x:c r="D703" s="9" t="str">
        <x:v>Chronicles of the Sword</x:v>
      </x:c>
      <x:c r="E703" s="9" t="str"/>
      <x:c r="F703" s="9" t="str">
        <x:v>Synthetic Dimensions</x:v>
      </x:c>
      <x:c r="G703" s="9" t="str">
        <x:v>Psygnosis</x:v>
      </x:c>
      <x:c r="H703" s="9" t="n">
        <x:v>1996</x:v>
      </x:c>
      <x:c r="I703" s="9" t="str">
        <x:v>Yes</x:v>
      </x:c>
      <x:c r="J703" s="9" t="str">
        <x:v>No</x:v>
      </x:c>
      <x:c r="K703" s="9" t="str">
        <x:v>Yes</x:v>
      </x:c>
      <x:c r="L703" s="9" t="str">
        <x:v>No</x:v>
      </x:c>
      <x:c r="M703" s="9" t="str">
        <x:v>Point-and-click adventure</x:v>
      </x:c>
      <x:c r="N703" s="9" t="str">
        <x:v>Pre-rendered CG</x:v>
      </x:c>
      <x:c r="O703" s="9" t="n">
        <x:v>4</x:v>
      </x:c>
      <x:c r="P703" s="9" t="str">
        <x:v>FMV adventure</x:v>
      </x:c>
      <x:c r="Q703" s="9" t="str">
        <x:v>Released</x:v>
      </x:c>
      <x:c r="R703" s="9" t="str">
        <x:v>Arthurian legend</x:v>
      </x:c>
      <x:c r="S703" s="9" t="str">
        <x:v>PlayStation</x:v>
      </x:c>
      <x:c r="T703" s="9" t="str">
        <x:v>—</x:v>
      </x:c>
      <x:c r="U703" s="9" t="n">
        <x:v>3</x:v>
      </x:c>
      <x:c r="V703" s="9" t="str">
        <x:v>Yes</x:v>
      </x:c>
      <x:c r="W703" s="9" t="str">
        <x:v>486DX2/66, 8 MB RAM, 2x CD-ROM, SVGA; DOS</x:v>
      </x:c>
      <x:c r="X703" s="9" t="str">
        <x:v>Low</x:v>
      </x:c>
      <x:c r="Y703" s="9" t="str"/>
      <x:c r="Z703" s="9" t="str">
        <x:v>8–12 hr</x:v>
      </x:c>
      <x:c r="AA703" s="9" t="str">
        <x:v>Psygnosis' Arthurian adventure staged entirely in pre-rendered CG with movie transitions.</x:v>
      </x:c>
      <x:c r="AB703" s="9" t="str">
        <x:v>None known</x:v>
      </x:c>
      <x:c r="AC703" s="9" t="str">
        <x:v>Pre-rendered CG scenes and cutscenes (verify)</x:v>
      </x:c>
      <x:c r="AD703" s="9" t="str">
        <x:v>Moderate; can die</x:v>
      </x:c>
      <x:c r="AE703" s="9" t="str">
        <x:v>Single ending</x:v>
      </x:c>
      <x:c r="AF703" s="9" t="str">
        <x:v>Designed by Kevin Bulmer of Synthetic Dimensions.</x:v>
      </x:c>
      <x:c r="AG703" s="9" t="str">
        <x:v>3-CD box</x:v>
      </x:c>
      <x:c r="AH703" s="9" t="str">
        <x:v>No</x:v>
      </x:c>
      <x:c r="AI703" s="9" t="str">
        <x:v>Easy</x:v>
      </x:c>
      <x:c r="AJ703" s="9" t="str">
        <x:v>Original discs in DOSBox</x:v>
      </x:c>
      <x:c r="AK703" s="9" t="str">
        <x:v>MobyGames DOS/Windows score not visible in search results (no snippets); left blank. PriceCharting PC price not fetched: the shared WebFetch budget was exhausted for this batch; price null (re-run price pull).</x:v>
      </x:c>
      <x:c r="AL703" s="10" t="n">
        <x:v>9.99</x:v>
      </x:c>
      <x:c r="AM703" s="10" t="n">
        <x:v>10.5</x:v>
      </x:c>
      <x:c r="AN703" s="10" t="n">
        <x:v>14.84</x:v>
      </x:c>
      <x:c r="AO703" s="9" t="str">
        <x:v>2026-10-24</x:v>
      </x:c>
      <x:c r="AP703" s="11" t="str">
        <x:f>HYPERLINK("https://www.pricecharting.com/game/pc-games/chronicles-of-the-sword","PriceCharting")</x:f>
        <x:v>PriceCharting</x:v>
      </x:c>
      <x:c r="AQ703" s="9"/>
      <x:c r="AR703" s="9"/>
      <x:c r="AS703" s="9"/>
      <x:c r="AT703" s="9"/>
      <x:c r="AU703" s="9"/>
      <x:c r="AV703" s="9"/>
      <x:c r="AW703" s="9"/>
      <x:c r="AX703" s="9"/>
      <x:c r="AY703" s="9" t="str">
        <x:v>52%</x:v>
      </x:c>
      <x:c r="AZ703" s="9" t="str">
        <x:v>2.3</x:v>
      </x:c>
      <x:c r="BA703" s="11" t="str">
        <x:f>HYPERLINK("https://www.mobygames.com/game/dos/chronicles-of-the-sword","MobyGames")</x:f>
        <x:v>MobyGames</x:v>
      </x:c>
      <x:c r="BB703" s="9"/>
      <x:c r="BC703" s="9"/>
      <x:c r="BD703" s="9"/>
      <x:c r="BE703" s="11" t="str">
        <x:f>HYPERLINK("https://en.wikipedia.org/wiki/Chronicles_of_the_Sword","Wikipedia")</x:f>
        <x:v>Wikipedia</x:v>
      </x:c>
      <x:c r="BF703" s="11" t="str">
        <x:f>HYPERLINK("https://backloggd.com/search/games/Chronicles%20of%20the%20Sword/","Backloggd")</x:f>
        <x:v>Backloggd</x:v>
      </x:c>
      <x:c r="BG703" s="9"/>
      <x:c r="BH703" s="9"/>
      <x:c r="BI703" s="12" t="str">
        <x:v>No</x:v>
      </x:c>
      <x:c r="BJ703" s="12" t="str"/>
      <x:c r="BK703" s="12" t="str">
        <x:v>No</x:v>
      </x:c>
      <x:c r="BL703" s="12" t="str"/>
      <x:c r="BM703" s="12" t="str"/>
      <x:c r="BN703" s="12" t="str"/>
      <x:c r="BO703" s="12" t="str"/>
      <x:c r="BP703" s="12" t="str"/>
      <x:c r="BQ703" s="12" t="str"/>
    </x:row>
    <x:row r="704">
      <x:c r="A704" s="9" t="str">
        <x:v>pc-174</x:v>
      </x:c>
      <x:c r="B704" s="9" t="str">
        <x:v>prisoner-of-ice</x:v>
      </x:c>
      <x:c r="C704" s="9" t="str">
        <x:v>PC</x:v>
      </x:c>
      <x:c r="D704" s="9" t="str">
        <x:v>Prisoner of Ice</x:v>
      </x:c>
      <x:c r="E704" s="9" t="str">
        <x:v>Call of Cthulhu: Prisoner of Ice</x:v>
      </x:c>
      <x:c r="F704" s="9" t="str">
        <x:v>Infogrames</x:v>
      </x:c>
      <x:c r="G704" s="9" t="str">
        <x:v>I-Motion (NA), Infogrames (EU)</x:v>
      </x:c>
      <x:c r="H704" s="9" t="n">
        <x:v>1995</x:v>
      </x:c>
      <x:c r="I704" s="9" t="str">
        <x:v>Yes</x:v>
      </x:c>
      <x:c r="J704" s="9" t="str">
        <x:v>Yes</x:v>
      </x:c>
      <x:c r="K704" s="9" t="str">
        <x:v>Yes</x:v>
      </x:c>
      <x:c r="L704" s="9" t="str">
        <x:v>No</x:v>
      </x:c>
      <x:c r="M704" s="9" t="str">
        <x:v>Point-and-click adventure</x:v>
      </x:c>
      <x:c r="N704" s="9" t="str">
        <x:v>Pre-rendered CG</x:v>
      </x:c>
      <x:c r="O704" s="9" t="n">
        <x:v>3</x:v>
      </x:c>
      <x:c r="P704" s="9" t="str">
        <x:v>FMV adventure</x:v>
      </x:c>
      <x:c r="Q704" s="9" t="str">
        <x:v>Released</x:v>
      </x:c>
      <x:c r="R704" s="9" t="str">
        <x:v>Chaosium Call of Cthulhu licence</x:v>
      </x:c>
      <x:c r="S704" s="9" t="str">
        <x:v>Mac, Saturn, PlayStation (JP)</x:v>
      </x:c>
      <x:c r="T704" s="9" t="str">
        <x:v>—</x:v>
      </x:c>
      <x:c r="U704" s="9" t="n">
        <x:v>1</x:v>
      </x:c>
      <x:c r="V704" s="9" t="str">
        <x:v>Yes</x:v>
      </x:c>
      <x:c r="W704" s="9" t="str">
        <x:v>486DX/33, 8 MB RAM, 2x CD-ROM, SVGA; DOS &amp; Win95</x:v>
      </x:c>
      <x:c r="X704" s="9" t="str">
        <x:v>Low</x:v>
      </x:c>
      <x:c r="Y704" s="9" t="str"/>
      <x:c r="Z704" s="9" t="str">
        <x:v>4–6 hr</x:v>
      </x:c>
      <x:c r="AA704" s="9" t="str">
        <x:v>Lovecraft on a WWII submarine, told through Infogrames' rendered cutscenes and sudden deaths.</x:v>
      </x:c>
      <x:c r="AB704" s="9" t="str">
        <x:v>None known</x:v>
      </x:c>
      <x:c r="AC704" s="9" t="str">
        <x:v>Pre-rendered CG cutscenes, SVGA (verify)</x:v>
      </x:c>
      <x:c r="AD704" s="9" t="str">
        <x:v>Moderate; timed sequences</x:v>
      </x:c>
      <x:c r="AE704" s="9" t="str">
        <x:v>Single ending (verify)</x:v>
      </x:c>
      <x:c r="AF704" s="9" t="str">
        <x:v>A loose sequel to Shadow of the Comet.</x:v>
      </x:c>
      <x:c r="AG704" s="9" t="str">
        <x:v>Big box; Infogrames Pack</x:v>
      </x:c>
      <x:c r="AH704" s="9" t="str">
        <x:v>Yes (GOG, Steam) (verify)</x:v>
      </x:c>
      <x:c r="AI704" s="9" t="str">
        <x:v>Easy</x:v>
      </x:c>
      <x:c r="AJ704" s="9" t="str">
        <x:v>GOG/Steam (verify) or DOSBox</x:v>
      </x:c>
      <x:c r="AK704" s="9" t="str">
        <x:v>MobyGames DOS/Windows score not visible in search results (no snippets); left blank. PriceCharting PC price not fetched: the shared WebFetch budget was exhausted for this batch; price null (re-run price pull).</x:v>
      </x:c>
      <x:c r="AL704" s="10"/>
      <x:c r="AM704" s="10" t="n">
        <x:v>49.99</x:v>
      </x:c>
      <x:c r="AN704" s="10" t="n">
        <x:v>57.03</x:v>
      </x:c>
      <x:c r="AO704" s="9" t="str">
        <x:v>2026-10-24</x:v>
      </x:c>
      <x:c r="AP704" s="11" t="str">
        <x:f>HYPERLINK("https://www.pricecharting.com/game/pc-games/call-of-cthulhu-prisoner-of-ice","PriceCharting")</x:f>
        <x:v>PriceCharting</x:v>
      </x:c>
      <x:c r="AQ704" s="9" t="n">
        <x:v>5.99</x:v>
      </x:c>
      <x:c r="AR704" s="11" t="str">
        <x:v>Steam</x:v>
      </x:c>
      <x:c r="AS704" s="9" t="str">
        <x:f>HYPERLINK("https://store.steampowered.com/app/359620/","Store")</x:f>
        <x:v>Store</x:v>
      </x:c>
      <x:c r="AT704" s="9" t="str">
        <x:v>2026-10-24</x:v>
      </x:c>
      <x:c r="AU704" s="9"/>
      <x:c r="AV704" s="9"/>
      <x:c r="AW704" s="9"/>
      <x:c r="AX704" s="9"/>
      <x:c r="AY704" s="9" t="str">
        <x:v>77%</x:v>
      </x:c>
      <x:c r="AZ704" s="9"/>
      <x:c r="BA704" s="11" t="str">
        <x:f>HYPERLINK("https://www.mobygames.com/game/dos/prisoner-of-ice","MobyGames")</x:f>
        <x:v>MobyGames</x:v>
      </x:c>
      <x:c r="BB704" s="9"/>
      <x:c r="BC704" s="9"/>
      <x:c r="BD704" s="9"/>
      <x:c r="BE704" s="11" t="str">
        <x:f>HYPERLINK("https://en.wikipedia.org/wiki/Prisoner_of_Ice","Wikipedia")</x:f>
        <x:v>Wikipedia</x:v>
      </x:c>
      <x:c r="BF704" s="11" t="str">
        <x:f>HYPERLINK("https://backloggd.com/search/games/Prisoner%20of%20Ice/","Backloggd")</x:f>
        <x:v>Backloggd</x:v>
      </x:c>
      <x:c r="BG704" s="9"/>
      <x:c r="BH704" s="9"/>
      <x:c r="BI704" s="12" t="str">
        <x:v>No</x:v>
      </x:c>
      <x:c r="BJ704" s="12" t="str"/>
      <x:c r="BK704" s="12" t="str">
        <x:v>No</x:v>
      </x:c>
      <x:c r="BL704" s="12" t="str"/>
      <x:c r="BM704" s="12" t="str"/>
      <x:c r="BN704" s="12" t="str"/>
      <x:c r="BO704" s="12" t="str"/>
      <x:c r="BP704" s="12" t="str"/>
      <x:c r="BQ704" s="12" t="str"/>
    </x:row>
    <x:row r="705">
      <x:c r="A705" s="9" t="str">
        <x:v>pc-175</x:v>
      </x:c>
      <x:c r="B705" s="9" t="str">
        <x:v>the-need-for-speed</x:v>
      </x:c>
      <x:c r="C705" s="9" t="str">
        <x:v>PC</x:v>
      </x:c>
      <x:c r="D705" s="9" t="str">
        <x:v>The Need for Speed</x:v>
      </x:c>
      <x:c r="E705" s="9" t="str"/>
      <x:c r="F705" s="9" t="str">
        <x:v>EA Canada (Pioneer Productions)</x:v>
      </x:c>
      <x:c r="G705" s="9" t="str">
        <x:v>Electronic Arts</x:v>
      </x:c>
      <x:c r="H705" s="9" t="n">
        <x:v>1995</x:v>
      </x:c>
      <x:c r="I705" s="9" t="str">
        <x:v>Yes</x:v>
      </x:c>
      <x:c r="J705" s="9" t="str">
        <x:v>No</x:v>
      </x:c>
      <x:c r="K705" s="9" t="str">
        <x:v>Yes</x:v>
      </x:c>
      <x:c r="L705" s="9" t="str">
        <x:v>No</x:v>
      </x:c>
      <x:c r="M705" s="9" t="str">
        <x:v>Racing</x:v>
      </x:c>
      <x:c r="N705" s="9" t="str">
        <x:v>Live-action</x:v>
      </x:c>
      <x:c r="O705" s="9" t="n">
        <x:v>2</x:v>
      </x:c>
      <x:c r="P705" s="9" t="str">
        <x:v>Sports w/ FMV</x:v>
      </x:c>
      <x:c r="Q705" s="9" t="str">
        <x:v>Released</x:v>
      </x:c>
      <x:c r="R705" s="9" t="str">
        <x:v>3DO original (1994)</x:v>
      </x:c>
      <x:c r="S705" s="9" t="str">
        <x:v>3DO, PlayStation, Saturn</x:v>
      </x:c>
      <x:c r="T705" s="9" t="str">
        <x:v>Real supercars on camera; narrator (verify)</x:v>
      </x:c>
      <x:c r="U705" s="9" t="n">
        <x:v>1</x:v>
      </x:c>
      <x:c r="V705" s="9" t="str">
        <x:v>Yes</x:v>
      </x:c>
      <x:c r="W705" s="9" t="str">
        <x:v>486DX2/66, 8 MB RAM, 2x CD-ROM, VGA/SVGA; DOS</x:v>
      </x:c>
      <x:c r="X705" s="9" t="str">
        <x:v>Low</x:v>
      </x:c>
      <x:c r="Y705" s="9" t="str"/>
      <x:c r="Z705" s="9" t="str">
        <x:v>3–5 hr</x:v>
      </x:c>
      <x:c r="AA705" s="9" t="str">
        <x:v>Road &amp; Track-style video showcases for every car, plus live-action intro and race-result clips.</x:v>
      </x:c>
      <x:c r="AB705" s="9" t="str">
        <x:v>None known</x:v>
      </x:c>
      <x:c r="AC705" s="9" t="str">
        <x:v>Car showcase videos and intro in a window, about 15 fps (verify)</x:v>
      </x:c>
      <x:c r="AD705" s="9" t="str">
        <x:v>Moderate</x:v>
      </x:c>
      <x:c r="AE705" s="9" t="str">
        <x:v>Tournament win clip</x:v>
      </x:c>
      <x:c r="AF705" s="9" t="str">
        <x:v>Made with Road &amp; Track magazine; each car has a filmed showcase.</x:v>
      </x:c>
      <x:c r="AG705" s="9" t="str">
        <x:v>DOS original; Special Edition (1996, DOS/Win95, adds tracks)</x:v>
      </x:c>
      <x:c r="AH705" s="9" t="str">
        <x:v>No</x:v>
      </x:c>
      <x:c r="AI705" s="9" t="str">
        <x:v>Easy</x:v>
      </x:c>
      <x:c r="AJ705" s="9" t="str">
        <x:v>Original discs in DOSBox</x:v>
      </x:c>
      <x:c r="AK705" s="9" t="str">
        <x:v>Video is car showcases and intro/race clips; borderline cutscene title kept to match the console records. MobyGames DOS/Windows score not visible in search results (no snippets); left blank. PriceCharting PC price not fetched: the shared WebFetch budget was exhausted for this batch; price null (re-run price pull).</x:v>
      </x:c>
      <x:c r="AL705" s="10"/>
      <x:c r="AM705" s="10"/>
      <x:c r="AN705" s="10"/>
      <x:c r="AO705" s="9"/>
      <x:c r="AP705" s="11" t="str">
        <x:f>HYPERLINK("https://www.pricecharting.com/search-products?q=The+Need+for+Speed+pc+games&amp;type=prices","PriceCharting")</x:f>
        <x:v>PriceCharting</x:v>
      </x:c>
      <x:c r="AQ705" s="9"/>
      <x:c r="AR705" s="9"/>
      <x:c r="AS705" s="9"/>
      <x:c r="AT705" s="9"/>
      <x:c r="AU705" s="9" t="str">
        <x:v>No market</x:v>
      </x:c>
      <x:c r="AV705" s="9" t="str">
        <x:v>Not sold on Steam or GOG (checked 2026-10-25) and no PriceCharting listing.</x:v>
      </x:c>
      <x:c r="AW705" s="9"/>
      <x:c r="AX705" s="9"/>
      <x:c r="AY705" s="9" t="str">
        <x:v>82%</x:v>
      </x:c>
      <x:c r="AZ705" s="9" t="str">
        <x:v>4.0</x:v>
      </x:c>
      <x:c r="BA705" s="11" t="str">
        <x:f>HYPERLINK("https://www.mobygames.com/game/dos/need-for-speed","MobyGames")</x:f>
        <x:v>MobyGames</x:v>
      </x:c>
      <x:c r="BB705" s="9"/>
      <x:c r="BC705" s="9"/>
      <x:c r="BD705" s="9"/>
      <x:c r="BE705" s="11" t="str">
        <x:f>HYPERLINK("https://en.wikipedia.org/wiki/The_Need_for_Speed","Wikipedia")</x:f>
        <x:v>Wikipedia</x:v>
      </x:c>
      <x:c r="BF705" s="11" t="str">
        <x:f>HYPERLINK("https://backloggd.com/search/games/The%20Need%20for%20Speed/","Backloggd")</x:f>
        <x:v>Backloggd</x:v>
      </x:c>
      <x:c r="BG705" s="9"/>
      <x:c r="BH705" s="9"/>
      <x:c r="BI705" s="12" t="str">
        <x:v>No</x:v>
      </x:c>
      <x:c r="BJ705" s="12" t="str"/>
      <x:c r="BK705" s="12" t="str">
        <x:v>No</x:v>
      </x:c>
      <x:c r="BL705" s="12" t="str"/>
      <x:c r="BM705" s="12" t="str"/>
      <x:c r="BN705" s="12" t="str"/>
      <x:c r="BO705" s="12" t="str"/>
      <x:c r="BP705" s="12" t="str"/>
      <x:c r="BQ705" s="12" t="str"/>
    </x:row>
    <x:row r="706">
      <x:c r="A706" s="9" t="str">
        <x:v>pc-176</x:v>
      </x:c>
      <x:c r="B706" s="9" t="str">
        <x:v>oddworld-abes-oddysee</x:v>
      </x:c>
      <x:c r="C706" s="9" t="str">
        <x:v>PC</x:v>
      </x:c>
      <x:c r="D706" s="9" t="str">
        <x:v>Oddworld: Abe's Oddysee</x:v>
      </x:c>
      <x:c r="E706" s="9" t="str"/>
      <x:c r="F706" s="9" t="str">
        <x:v>Oddworld Inhabitants</x:v>
      </x:c>
      <x:c r="G706" s="9" t="str">
        <x:v>GT Interactive</x:v>
      </x:c>
      <x:c r="H706" s="9" t="n">
        <x:v>1997</x:v>
      </x:c>
      <x:c r="I706" s="9" t="str">
        <x:v>Yes</x:v>
      </x:c>
      <x:c r="J706" s="9" t="str">
        <x:v>No</x:v>
      </x:c>
      <x:c r="K706" s="9" t="str">
        <x:v>Yes</x:v>
      </x:c>
      <x:c r="L706" s="9" t="str">
        <x:v>No</x:v>
      </x:c>
      <x:c r="M706" s="9" t="str">
        <x:v>Cinematic platformer</x:v>
      </x:c>
      <x:c r="N706" s="9" t="str">
        <x:v>Pre-rendered CG</x:v>
      </x:c>
      <x:c r="O706" s="9" t="n">
        <x:v>2</x:v>
      </x:c>
      <x:c r="P706" s="9" t="str">
        <x:v>Cutscenes only</x:v>
      </x:c>
      <x:c r="Q706" s="9" t="str">
        <x:v>Released</x:v>
      </x:c>
      <x:c r="R706" s="9" t="str">
        <x:v>PlayStation/PC original</x:v>
      </x:c>
      <x:c r="S706" s="9" t="str">
        <x:v>PlayStation, Game Boy (Oddysee)</x:v>
      </x:c>
      <x:c r="T706" s="9" t="str">
        <x:v>Lorne Lanning (voice of Abe)</x:v>
      </x:c>
      <x:c r="U706" s="9" t="n">
        <x:v>1</x:v>
      </x:c>
      <x:c r="V706" s="9" t="str">
        <x:v>Yes</x:v>
      </x:c>
      <x:c r="W706" s="9" t="str">
        <x:v>Pentium 90, 16 MB RAM, 4x CD-ROM; Win95</x:v>
      </x:c>
      <x:c r="X706" s="9" t="str">
        <x:v>Low</x:v>
      </x:c>
      <x:c r="Y706" s="9" t="str"/>
      <x:c r="Z706" s="9" t="str">
        <x:v>5–8 hr</x:v>
      </x:c>
      <x:c r="AA706" s="9" t="str">
        <x:v>Award-level CG cutscenes from ex-ILM/Rhythm &amp; Hues artists bookend a punishing rescue platformer.</x:v>
      </x:c>
      <x:c r="AB706" s="9" t="str">
        <x:v>None known</x:v>
      </x:c>
      <x:c r="AC706" s="9" t="str">
        <x:v>Full-screen CG movies (verify PC resolution)</x:v>
      </x:c>
      <x:c r="AD706" s="9" t="str">
        <x:v>Hard</x:v>
      </x:c>
      <x:c r="AE706" s="9" t="str">
        <x:v>Good and bad endings depending on Mudokons rescued</x:v>
      </x:c>
      <x:c r="AF706" s="9" t="str">
        <x:v>Lorne Lanning voiced Abe and most of the other characters himself.</x:v>
      </x:c>
      <x:c r="AG706" s="9" t="str">
        <x:v>Standard box; jewel case</x:v>
      </x:c>
      <x:c r="AH706" s="9" t="str">
        <x:v>Yes (GOG, Steam)</x:v>
      </x:c>
      <x:c r="AI706" s="9" t="str">
        <x:v>Easy</x:v>
      </x:c>
      <x:c r="AJ706" s="9" t="str">
        <x:v>GOG/Steam</x:v>
      </x:c>
      <x:c r="AK706" s="9" t="str">
        <x:v>MobyGames DOS/Windows score not visible in search results (no snippets); left blank. PriceCharting PC price not fetched: the shared WebFetch budget was exhausted for this batch; price null (re-run price pull).</x:v>
      </x:c>
      <x:c r="AL706" s="10" t="n">
        <x:v>5.95</x:v>
      </x:c>
      <x:c r="AM706" s="10" t="n">
        <x:v>32.62</x:v>
      </x:c>
      <x:c r="AN706" s="10" t="n">
        <x:v>200</x:v>
      </x:c>
      <x:c r="AO706" s="9" t="str">
        <x:v>2026-10-24</x:v>
      </x:c>
      <x:c r="AP706" s="11" t="str">
        <x:f>HYPERLINK("https://www.pricecharting.com/game/pc-games/oddworld-abe%27s-oddysee","PriceCharting")</x:f>
        <x:v>PriceCharting</x:v>
      </x:c>
      <x:c r="AQ706" s="9" t="n">
        <x:v>2.99</x:v>
      </x:c>
      <x:c r="AR706" s="11" t="str">
        <x:v>Steam</x:v>
      </x:c>
      <x:c r="AS706" s="9" t="str">
        <x:f>HYPERLINK("https://store.steampowered.com/app/15700/","Store")</x:f>
        <x:v>Store</x:v>
      </x:c>
      <x:c r="AT706" s="9" t="str">
        <x:v>2026-10-24</x:v>
      </x:c>
      <x:c r="AU706" s="9"/>
      <x:c r="AV706" s="9"/>
      <x:c r="AW706" s="9"/>
      <x:c r="AX706" s="9"/>
      <x:c r="AY706" s="9"/>
      <x:c r="AZ706" s="9"/>
      <x:c r="BA706" s="11" t="str">
        <x:f>HYPERLINK("https://www.mobygames.com/game/1058/oddworld-abes-oddysee/","MobyGames")</x:f>
        <x:v>MobyGames</x:v>
      </x:c>
      <x:c r="BB706" s="9" t="str">
        <x:v>79%</x:v>
      </x:c>
      <x:c r="BC706" s="9" t="str">
        <x:v>GameRankings, 8 reviews</x:v>
      </x:c>
      <x:c r="BD706" s="9" t="str">
        <x:f>HYPERLINK("https://web.archive.org/web/20191209011828id_/https://www.gamerankings.com/pc/36010-oddworld-abes-oddysee/","Source")</x:f>
        <x:v>Source</x:v>
      </x:c>
      <x:c r="BE706" s="11" t="str">
        <x:f>HYPERLINK("https://en.wikipedia.org/wiki/Oddworld:_Abe%27s_Oddysee","Wikipedia")</x:f>
        <x:v>Wikipedia</x:v>
      </x:c>
      <x:c r="BF706" s="11" t="str">
        <x:f>HYPERLINK("https://backloggd.com/search/games/Oddworld%3A%20Abe%27s%20Oddysee/","Backloggd")</x:f>
        <x:v>Backloggd</x:v>
      </x:c>
      <x:c r="BG706" s="9"/>
      <x:c r="BH706" s="9"/>
      <x:c r="BI706" s="12" t="str">
        <x:v>No</x:v>
      </x:c>
      <x:c r="BJ706" s="12" t="str"/>
      <x:c r="BK706" s="12" t="str">
        <x:v>No</x:v>
      </x:c>
      <x:c r="BL706" s="12" t="str"/>
      <x:c r="BM706" s="12" t="str"/>
      <x:c r="BN706" s="12" t="str"/>
      <x:c r="BO706" s="12" t="str"/>
      <x:c r="BP706" s="12" t="str"/>
      <x:c r="BQ706" s="12" t="str"/>
    </x:row>
    <x:row r="707">
      <x:c r="A707" s="9" t="str">
        <x:v>mac-1</x:v>
      </x:c>
      <x:c r="B707" s="9" t="str">
        <x:v>spaceship-warlock</x:v>
      </x:c>
      <x:c r="C707" s="9" t="str">
        <x:v>Macintosh</x:v>
      </x:c>
      <x:c r="D707" s="9" t="str">
        <x:v>Spaceship Warlock</x:v>
      </x:c>
      <x:c r="E707" s="9" t="str"/>
      <x:c r="F707" s="9" t="str">
        <x:v>Mike Saenz, Joe Sparks (Reactor)</x:v>
      </x:c>
      <x:c r="G707" s="9" t="str">
        <x:v>Reactor (NA)</x:v>
      </x:c>
      <x:c r="H707" s="9" t="n">
        <x:v>1991</x:v>
      </x:c>
      <x:c r="I707" s="9" t="str">
        <x:v>Yes</x:v>
      </x:c>
      <x:c r="J707" s="9" t="str">
        <x:v>No</x:v>
      </x:c>
      <x:c r="K707" s="9" t="str">
        <x:v>No</x:v>
      </x:c>
      <x:c r="L707" s="9" t="str">
        <x:v>No</x:v>
      </x:c>
      <x:c r="M707" s="9" t="str">
        <x:v>Sci-fi adventure</x:v>
      </x:c>
      <x:c r="N707" s="9" t="str">
        <x:v>Animated</x:v>
      </x:c>
      <x:c r="O707" s="9" t="n">
        <x:v>4</x:v>
      </x:c>
      <x:c r="P707" s="9" t="str">
        <x:v>FMV adventure</x:v>
      </x:c>
      <x:c r="Q707" s="9" t="str">
        <x:v>Released</x:v>
      </x:c>
      <x:c r="R707" s="9" t="str">
        <x:v>Original production</x:v>
      </x:c>
      <x:c r="S707" s="9" t="str">
        <x:v>Windows (1994)</x:v>
      </x:c>
      <x:c r="T707" s="9" t="str">
        <x:v>—</x:v>
      </x:c>
      <x:c r="U707" s="9" t="n">
        <x:v>1</x:v>
      </x:c>
      <x:c r="V707" s="9" t="str">
        <x:v>Yes</x:v>
      </x:c>
      <x:c r="W707" s="9" t="str">
        <x:v>Mouse</x:v>
      </x:c>
      <x:c r="X707" s="9" t="str">
        <x:v>Low</x:v>
      </x:c>
      <x:c r="Y707" s="9" t="str"/>
      <x:c r="Z707" s="9" t="str">
        <x:v>2–3 hr</x:v>
      </x:c>
      <x:c r="AA707" s="9" t="str">
        <x:v>The 1991 cyberpunk 'movie' that sold Mac owners on CD-ROM drives, years before Myst.</x:v>
      </x:c>
      <x:c r="AB707" s="9" t="str">
        <x:v>None known</x:v>
      </x:c>
      <x:c r="AC707" s="9" t="str">
        <x:v>Full-screen 8-bit colour MacroMind Director animation, low frame rate; pre-QuickTime-era cel/CG animation with digitized speech</x:v>
      </x:c>
      <x:c r="AD707" s="9" t="str">
        <x:v>Moderate; arcade combat sequences are clunky and can kill you</x:v>
      </x:c>
      <x:c r="AE707" s="9" t="str">
        <x:v>One main ending; optional side locations</x:v>
      </x:c>
      <x:c r="AF707" s="9" t="str">
        <x:v>Inside Mac Games called it the best-selling Mac CD-ROM title in 1993 (20,000+ copies); Saenz and Sparks later fought in court over its copyright.</x:v>
      </x:c>
      <x:c r="AG707" s="9" t="str">
        <x:v>Mac CD-ROM original; later Windows release (1994)</x:v>
      </x:c>
      <x:c r="AH707" s="9" t="str">
        <x:v>No</x:v>
      </x:c>
      <x:c r="AI707" s="9" t="str">
        <x:v>Easy</x:v>
      </x:c>
      <x:c r="AJ707" s="9" t="str">
        <x:v>No official re-release; original disc runs in Basilisk II/SheepShaver (68k Mac emulation recommended).</x:v>
      </x:c>
      <x:c r="AK707" s="9" t="str">
        <x:v>Early CD-ROM game; video is Director animation rather than streamed film, so fmv is moderate. Windows publisher/year: verify.</x:v>
      </x:c>
      <x:c r="AL707" s="10"/>
      <x:c r="AM707" s="10"/>
      <x:c r="AN707" s="10"/>
      <x:c r="AO707" s="9"/>
      <x:c r="AP707" s="11" t="str">
        <x:f>HYPERLINK("https://www.pricecharting.com/search-products?q=Spaceship+Warlock+macintosh&amp;type=prices","PriceCharting")</x:f>
        <x:v>PriceCharting</x:v>
      </x:c>
      <x:c r="AQ707" s="9"/>
      <x:c r="AR707" s="9"/>
      <x:c r="AS707" s="9"/>
      <x:c r="AT707" s="9"/>
      <x:c r="AU707" s="9" t="str">
        <x:v>No market</x:v>
      </x:c>
      <x:c r="AV707" s="9" t="str">
        <x:v>Not listed on PriceCharting, whose Macintosh console has only about 110 items (searched 2026-10-25).</x:v>
      </x:c>
      <x:c r="AW707" s="9"/>
      <x:c r="AX707" s="9"/>
      <x:c r="AY707" s="9"/>
      <x:c r="AZ707" s="9" t="str">
        <x:v>3.5</x:v>
      </x:c>
      <x:c r="BA707" s="11" t="str">
        <x:f>HYPERLINK("https://www.mobygames.com/game/22016/spaceship-warlock/","MobyGames")</x:f>
        <x:v>MobyGames</x:v>
      </x:c>
      <x:c r="BB707" s="9"/>
      <x:c r="BC707" s="9"/>
      <x:c r="BD707" s="9"/>
      <x:c r="BE707" s="11" t="str">
        <x:f>HYPERLINK("https://en.wikipedia.org/wiki/Spaceship_Warlock","Wikipedia")</x:f>
        <x:v>Wikipedia</x:v>
      </x:c>
      <x:c r="BF707" s="11" t="str">
        <x:f>HYPERLINK("https://backloggd.com/search/games/Spaceship%20Warlock/","Backloggd")</x:f>
        <x:v>Backloggd</x:v>
      </x:c>
      <x:c r="BG707" s="9"/>
      <x:c r="BH707" s="9"/>
      <x:c r="BI707" s="12" t="str">
        <x:v>No</x:v>
      </x:c>
      <x:c r="BJ707" s="12" t="str"/>
      <x:c r="BK707" s="12" t="str">
        <x:v>No</x:v>
      </x:c>
      <x:c r="BL707" s="12" t="str"/>
      <x:c r="BM707" s="12" t="str"/>
      <x:c r="BN707" s="12" t="str"/>
      <x:c r="BO707" s="12" t="str"/>
      <x:c r="BP707" s="12" t="str"/>
      <x:c r="BQ707" s="12" t="str"/>
    </x:row>
    <x:row r="708">
      <x:c r="A708" s="9" t="str">
        <x:v>mac-2</x:v>
      </x:c>
      <x:c r="B708" s="9" t="str">
        <x:v>the-journeyman-project</x:v>
      </x:c>
      <x:c r="C708" s="9" t="str">
        <x:v>Macintosh</x:v>
      </x:c>
      <x:c r="D708" s="9" t="str">
        <x:v>The Journeyman Project</x:v>
      </x:c>
      <x:c r="E708" s="9" t="str">
        <x:v>The Journeyman Project Turbo! (1994 v2.0)</x:v>
      </x:c>
      <x:c r="F708" s="9" t="str">
        <x:v>Presto Studios</x:v>
      </x:c>
      <x:c r="G708" s="9" t="str">
        <x:v>Quadra Interactive (original, NA), Sanctuary Woods (Turbo!, NA)</x:v>
      </x:c>
      <x:c r="H708" s="9" t="n">
        <x:v>1993</x:v>
      </x:c>
      <x:c r="I708" s="9" t="str">
        <x:v>Yes</x:v>
      </x:c>
      <x:c r="J708" s="9" t="str">
        <x:v>No</x:v>
      </x:c>
      <x:c r="K708" s="9" t="str">
        <x:v>No</x:v>
      </x:c>
      <x:c r="L708" s="9" t="str">
        <x:v>No</x:v>
      </x:c>
      <x:c r="M708" s="9" t="str">
        <x:v>Sci-fi time-travel adventure</x:v>
      </x:c>
      <x:c r="N708" s="9" t="str">
        <x:v>Live-action + pre-rendered CG</x:v>
      </x:c>
      <x:c r="O708" s="9" t="n">
        <x:v>5</x:v>
      </x:c>
      <x:c r="P708" s="9" t="str">
        <x:v>Pre-rendered CG</x:v>
      </x:c>
      <x:c r="Q708" s="9" t="str">
        <x:v>Released</x:v>
      </x:c>
      <x:c r="R708" s="9" t="str">
        <x:v>Original production</x:v>
      </x:c>
      <x:c r="S708" s="9" t="str">
        <x:v>Windows; remade as Pegasus Prime (Mac, Pippin, PlayStation JP)</x:v>
      </x:c>
      <x:c r="T708" s="9" t="str">
        <x:v>Presto Studios staff and local actors in video-phone clips (verify names)</x:v>
      </x:c>
      <x:c r="U708" s="9" t="n">
        <x:v>1</x:v>
      </x:c>
      <x:c r="V708" s="9" t="str">
        <x:v>Yes</x:v>
      </x:c>
      <x:c r="W708" s="9" t="str">
        <x:v>Mouse</x:v>
      </x:c>
      <x:c r="X708" s="9" t="str">
        <x:v>Low</x:v>
      </x:c>
      <x:c r="Y708" s="9" t="str"/>
      <x:c r="Z708" s="9" t="str">
        <x:v>4–6 hr</x:v>
      </x:c>
      <x:c r="AA708" s="9" t="str">
        <x:v>The first photorealistic rendered CD-ROM adventure, from the studio that later made Myst III.</x:v>
      </x:c>
      <x:c r="AB708" s="9" t="str">
        <x:v>None known</x:v>
      </x:c>
      <x:c r="AC708" s="9" t="str">
        <x:v>Small QuickTime windows for rendered travel animations and live-action video messages; original release stuttered, Turbo! fixed playback</x:v>
      </x:c>
      <x:c r="AD708" s="9" t="str">
        <x:v>Moderate; timed robot combat and a few deadly puzzles</x:v>
      </x:c>
      <x:c r="AE708" s="9" t="str">
        <x:v>Single ending; points score for completeness</x:v>
      </x:c>
      <x:c r="AF708" s="9" t="str">
        <x:v>The protagonist is only 'Agent 5' here; Gage Blackwood got his name and face (Todd McCormick) in later games.</x:v>
      </x:c>
      <x:c r="AG708" s="9" t="str">
        <x:v>Original 1992/93 Mac CD (Quadra Interactive); The Journeyman Project Turbo! (Sanctuary Woods, 1994) — hybrid Mac/PC disc (verify)</x:v>
      </x:c>
      <x:c r="AH708" s="9" t="str">
        <x:v>Yes (as Pegasus Prime remake on GOG/Steam)</x:v>
      </x:c>
      <x:c r="AI708" s="9" t="str">
        <x:v>Easy</x:v>
      </x:c>
      <x:c r="AJ708" s="9" t="str">
        <x:v>Original/Turbo! discs in Basilisk II/SheepShaver; the official modern route is the Pegasus Prime remake on GOG/Steam.</x:v>
      </x:c>
      <x:c r="AK708" s="9" t="str">
        <x:v>Some sources date the Mac original to late 1992. Turbo! is a separate MobyGames entry.</x:v>
      </x:c>
      <x:c r="AL708" s="10"/>
      <x:c r="AM708" s="10"/>
      <x:c r="AN708" s="10"/>
      <x:c r="AO708" s="9"/>
      <x:c r="AP708" s="11" t="str">
        <x:f>HYPERLINK("https://www.pricecharting.com/search-products?q=The+Journeyman+Project+macintosh&amp;type=prices","PriceCharting")</x:f>
        <x:v>PriceCharting</x:v>
      </x:c>
      <x:c r="AQ708" s="9"/>
      <x:c r="AR708" s="9"/>
      <x:c r="AS708" s="9"/>
      <x:c r="AT708" s="9"/>
      <x:c r="AU708" s="9" t="str">
        <x:v>No market</x:v>
      </x:c>
      <x:c r="AV708" s="9" t="str">
        <x:v>Not listed on PriceCharting, whose Macintosh console has only about 110 items (searched 2026-10-25).</x:v>
      </x:c>
      <x:c r="AW708" s="9"/>
      <x:c r="AX708" s="9"/>
      <x:c r="AY708" s="9"/>
      <x:c r="AZ708" s="9" t="str">
        <x:v>3.2</x:v>
      </x:c>
      <x:c r="BA708" s="11" t="str">
        <x:f>HYPERLINK("https://www.mobygames.com/game/22007/the-journeyman-project/","MobyGames")</x:f>
        <x:v>MobyGames</x:v>
      </x:c>
      <x:c r="BB708" s="9"/>
      <x:c r="BC708" s="9"/>
      <x:c r="BD708" s="9"/>
      <x:c r="BE708" s="11" t="str">
        <x:f>HYPERLINK("https://en.wikipedia.org/wiki/The_Journeyman_Project","Wikipedia")</x:f>
        <x:v>Wikipedia</x:v>
      </x:c>
      <x:c r="BF708" s="11" t="str">
        <x:f>HYPERLINK("https://backloggd.com/search/games/The%20Journeyman%20Project/","Backloggd")</x:f>
        <x:v>Backloggd</x:v>
      </x:c>
      <x:c r="BG708" s="9"/>
      <x:c r="BH708" s="9"/>
      <x:c r="BI708" s="12" t="str">
        <x:v>No</x:v>
      </x:c>
      <x:c r="BJ708" s="12" t="str"/>
      <x:c r="BK708" s="12" t="str">
        <x:v>No</x:v>
      </x:c>
      <x:c r="BL708" s="12" t="str"/>
      <x:c r="BM708" s="12" t="str"/>
      <x:c r="BN708" s="12" t="str"/>
      <x:c r="BO708" s="12" t="str"/>
      <x:c r="BP708" s="12" t="str"/>
      <x:c r="BQ708" s="12" t="str"/>
    </x:row>
    <x:row r="709">
      <x:c r="A709" s="9" t="str">
        <x:v>mac-3</x:v>
      </x:c>
      <x:c r="B709" s="9" t="str">
        <x:v>the-journeyman-project-2-buried-in-time</x:v>
      </x:c>
      <x:c r="C709" s="9" t="str">
        <x:v>Macintosh</x:v>
      </x:c>
      <x:c r="D709" s="9" t="str">
        <x:v>The Journeyman Project 2: Buried in Time</x:v>
      </x:c>
      <x:c r="E709" s="9" t="str">
        <x:v>Buried in Time</x:v>
      </x:c>
      <x:c r="F709" s="9" t="str">
        <x:v>Presto Studios</x:v>
      </x:c>
      <x:c r="G709" s="9" t="str">
        <x:v>Sanctuary Woods (NA), Red Orb (1999 reissue)</x:v>
      </x:c>
      <x:c r="H709" s="9" t="n">
        <x:v>1995</x:v>
      </x:c>
      <x:c r="I709" s="9" t="str">
        <x:v>Yes</x:v>
      </x:c>
      <x:c r="J709" s="9" t="str">
        <x:v>No</x:v>
      </x:c>
      <x:c r="K709" s="9" t="str">
        <x:v>No</x:v>
      </x:c>
      <x:c r="L709" s="9" t="str">
        <x:v>No</x:v>
      </x:c>
      <x:c r="M709" s="9" t="str">
        <x:v>Sci-fi time-travel adventure</x:v>
      </x:c>
      <x:c r="N709" s="9" t="str">
        <x:v>Live-action + pre-rendered CG</x:v>
      </x:c>
      <x:c r="O709" s="9" t="n">
        <x:v>5</x:v>
      </x:c>
      <x:c r="P709" s="9" t="str">
        <x:v>Pre-rendered CG</x:v>
      </x:c>
      <x:c r="Q709" s="9" t="str">
        <x:v>Released</x:v>
      </x:c>
      <x:c r="R709" s="9" t="str">
        <x:v>Original production</x:v>
      </x:c>
      <x:c r="S709" s="9" t="str">
        <x:v>Windows</x:v>
      </x:c>
      <x:c r="T709" s="9" t="str">
        <x:v>Todd McCormick (Gage Blackwood), Michele Scarabelli, Graham Jarvis, Matt Weinhold (voice of Arthur)</x:v>
      </x:c>
      <x:c r="U709" s="9" t="n">
        <x:v>2</x:v>
      </x:c>
      <x:c r="V709" s="9" t="str">
        <x:v>Yes</x:v>
      </x:c>
      <x:c r="W709" s="9" t="str">
        <x:v>Mouse</x:v>
      </x:c>
      <x:c r="X709" s="9" t="str">
        <x:v>Low</x:v>
      </x:c>
      <x:c r="Y709" s="9" t="str"/>
      <x:c r="Z709" s="9" t="str">
        <x:v>8–10 hr</x:v>
      </x:c>
      <x:c r="AA709" s="9" t="str">
        <x:v>Time-travelling through rendered Chateau Gaillard, Da Vinci's workshop and a Mayan temple with live actors in costume.</x:v>
      </x:c>
      <x:c r="AB709" s="9" t="str">
        <x:v>None known</x:v>
      </x:c>
      <x:c r="AC709" s="9" t="str">
        <x:v>Rendered navigation animations plus live-action actors composited into CG, QuickTime windows</x:v>
      </x:c>
      <x:c r="AD709" s="9" t="str">
        <x:v>Moderate–hard; timed deaths, Arthur hint AI helps</x:v>
      </x:c>
      <x:c r="AE709" s="9" t="str">
        <x:v>Single ending plus many death scenes</x:v>
      </x:c>
      <x:c r="AF709" s="9" t="str">
        <x:v>Presto's series sold about 500,000 units by July 1996, with Buried in Time a large part of it.</x:v>
      </x:c>
      <x:c r="AG709" s="9" t="str">
        <x:v>Hybrid Mac/PC disc (verify); 1999 Red Orb Journeyman Project Trilogy (Windows box)</x:v>
      </x:c>
      <x:c r="AH709" s="9" t="str">
        <x:v>Yes (GOG, Steam; ScummVM supports it)</x:v>
      </x:c>
      <x:c r="AI709" s="9" t="str">
        <x:v>Easy</x:v>
      </x:c>
      <x:c r="AJ709" s="9" t="str">
        <x:v>GOG/Steam re-releases and ScummVM support; original Mac disc runs in SheepShaver.</x:v>
      </x:c>
      <x:c r="AK709" s="9" t="str">
        <x:v>Disc count: verify (2 vs 3 CDs).</x:v>
      </x:c>
      <x:c r="AL709" s="10"/>
      <x:c r="AM709" s="10"/>
      <x:c r="AN709" s="10"/>
      <x:c r="AO709" s="9"/>
      <x:c r="AP709" s="11" t="str">
        <x:f>HYPERLINK("https://www.pricecharting.com/search-products?q=The+Journeyman+Project+2%3A+Buried+in+Time+macintosh&amp;type=prices","PriceCharting")</x:f>
        <x:v>PriceCharting</x:v>
      </x:c>
      <x:c r="AQ709" s="9"/>
      <x:c r="AR709" s="9"/>
      <x:c r="AS709" s="9"/>
      <x:c r="AT709" s="9"/>
      <x:c r="AU709" s="9" t="str">
        <x:v>No market</x:v>
      </x:c>
      <x:c r="AV709" s="9" t="str">
        <x:v>Not listed on PriceCharting, whose Macintosh console has only about 110 items (searched 2026-10-25). The PC version is on GOG ($2.99).</x:v>
      </x:c>
      <x:c r="AW709" s="9"/>
      <x:c r="AX709" s="9"/>
      <x:c r="AY709" s="9"/>
      <x:c r="AZ709" s="9" t="str">
        <x:v>4.2</x:v>
      </x:c>
      <x:c r="BA709" s="11" t="str">
        <x:f>HYPERLINK("https://www.mobygames.com/game/2149/the-journeyman-project-2-buried-in-time/","MobyGames")</x:f>
        <x:v>MobyGames</x:v>
      </x:c>
      <x:c r="BB709" s="9" t="str">
        <x:v>60%</x:v>
      </x:c>
      <x:c r="BC709" s="9" t="str">
        <x:v>average of 1 review on Wikipedia (NGen)</x:v>
      </x:c>
      <x:c r="BD709" s="9" t="str">
        <x:f>HYPERLINK("https://en.wikipedia.org/wiki/The_Journeyman_Project_2%3A_Buried_in_Time","Source")</x:f>
        <x:v>Source</x:v>
      </x:c>
      <x:c r="BE709" s="11" t="str">
        <x:f>HYPERLINK("https://en.wikipedia.org/wiki/The_Journeyman_Project_2:_Buried_in_Time","Wikipedia")</x:f>
        <x:v>Wikipedia</x:v>
      </x:c>
      <x:c r="BF709" s="11" t="str">
        <x:f>HYPERLINK("https://backloggd.com/search/games/The%20Journeyman%20Project%202%3A%20Buried%20in%20Time/","Backloggd")</x:f>
        <x:v>Backloggd</x:v>
      </x:c>
      <x:c r="BG709" s="9"/>
      <x:c r="BH709" s="9"/>
      <x:c r="BI709" s="12" t="str">
        <x:v>No</x:v>
      </x:c>
      <x:c r="BJ709" s="12" t="str"/>
      <x:c r="BK709" s="12" t="str">
        <x:v>No</x:v>
      </x:c>
      <x:c r="BL709" s="12" t="str"/>
      <x:c r="BM709" s="12" t="str"/>
      <x:c r="BN709" s="12" t="str"/>
      <x:c r="BO709" s="12" t="str"/>
      <x:c r="BP709" s="12" t="str"/>
      <x:c r="BQ709" s="12" t="str"/>
    </x:row>
    <x:row r="710">
      <x:c r="A710" s="9" t="str">
        <x:v>mac-4</x:v>
      </x:c>
      <x:c r="B710" s="9" t="str">
        <x:v>the-journeyman-project-pegasus-prime</x:v>
      </x:c>
      <x:c r="C710" s="9" t="str">
        <x:v>Macintosh</x:v>
      </x:c>
      <x:c r="D710" s="9" t="str">
        <x:v>The Journeyman Project: Pegasus Prime</x:v>
      </x:c>
      <x:c r="E710" s="9" t="str"/>
      <x:c r="F710" s="9" t="str">
        <x:v>Presto Studios</x:v>
      </x:c>
      <x:c r="G710" s="9" t="str">
        <x:v>Bandai Digital Entertainment (NA)</x:v>
      </x:c>
      <x:c r="H710" s="9" t="n">
        <x:v>1997</x:v>
      </x:c>
      <x:c r="I710" s="9" t="str">
        <x:v>Yes</x:v>
      </x:c>
      <x:c r="J710" s="9" t="str">
        <x:v>No</x:v>
      </x:c>
      <x:c r="K710" s="9" t="str">
        <x:v>No</x:v>
      </x:c>
      <x:c r="L710" s="9" t="str">
        <x:v>No</x:v>
      </x:c>
      <x:c r="M710" s="9" t="str">
        <x:v>Sci-fi time-travel adventure</x:v>
      </x:c>
      <x:c r="N710" s="9" t="str">
        <x:v>Live-action + pre-rendered CG</x:v>
      </x:c>
      <x:c r="O710" s="9" t="n">
        <x:v>5</x:v>
      </x:c>
      <x:c r="P710" s="9" t="str">
        <x:v>Pre-rendered CG</x:v>
      </x:c>
      <x:c r="Q710" s="9" t="str">
        <x:v>Released</x:v>
      </x:c>
      <x:c r="R710" s="9" t="str">
        <x:v>Remake of The Journeyman Project (1992/93)</x:v>
      </x:c>
      <x:c r="S710" s="9" t="str">
        <x:v>Apple Pippin and PlayStation (Japan); Mac OS X/Windows/Linux remaster 2013–14</x:v>
      </x:c>
      <x:c r="T710" s="9" t="str">
        <x:v>Todd McCormick (Gage Blackwood), Michele Scarabelli, Graham Jarvis</x:v>
      </x:c>
      <x:c r="U710" s="9" t="n">
        <x:v>4</x:v>
      </x:c>
      <x:c r="V710" s="9" t="str">
        <x:v>Yes</x:v>
      </x:c>
      <x:c r="W710" s="9" t="str">
        <x:v>Mouse</x:v>
      </x:c>
      <x:c r="X710" s="9" t="str">
        <x:v>Low</x:v>
      </x:c>
      <x:c r="Y710" s="9" t="str"/>
      <x:c r="Z710" s="9" t="str">
        <x:v>4–6 hr</x:v>
      </x:c>
      <x:c r="AA710" s="9" t="str">
        <x:v>Presto rebuilt its debut with full-screen video and new live-action scenes, and released it only on the Power Mac in North America.</x:v>
      </x:c>
      <x:c r="AB710" s="9" t="str">
        <x:v>None known</x:v>
      </x:c>
      <x:c r="AC710" s="9" t="str">
        <x:v>Larger full-screen-width rendered video and new live-action footage, smoother than the original</x:v>
      </x:c>
      <x:c r="AD710" s="9" t="str">
        <x:v>Moderate</x:v>
      </x:c>
      <x:c r="AE710" s="9" t="str">
        <x:v>Single ending</x:v>
      </x:c>
      <x:c r="AF710" s="9" t="str">
        <x:v>3DO and Saturn ports were announced and never shipped; Pippin and PlayStation versions came out in Japan.</x:v>
      </x:c>
      <x:c r="AG710" s="9" t="str">
        <x:v>Power Mac only in NA; Japanese Pippin and PlayStation versions</x:v>
      </x:c>
      <x:c r="AH710" s="9" t="str">
        <x:v>Yes (GOG, Steam; ScummVM supports the Mac version)</x:v>
      </x:c>
      <x:c r="AI710" s="9" t="str">
        <x:v>Easy</x:v>
      </x:c>
      <x:c r="AJ710" s="9" t="str">
        <x:v>Remaster on GOG/Steam (2013–17); the 1997 Mac discs run in ScummVM or SheepShaver.</x:v>
      </x:c>
      <x:c r="AK710" s="9" t="str">
        <x:v>Disc count 4 CDs: verify. Power Macintosh required.</x:v>
      </x:c>
      <x:c r="AL710" s="10" t="n">
        <x:v>75</x:v>
      </x:c>
      <x:c r="AM710" s="10" t="n">
        <x:v>220</x:v>
      </x:c>
      <x:c r="AN710" s="10" t="n">
        <x:v>324.95</x:v>
      </x:c>
      <x:c r="AO710" s="9" t="str">
        <x:v>2026-10-24</x:v>
      </x:c>
      <x:c r="AP710" s="11" t="str">
        <x:f>HYPERLINK("https://www.pricecharting.com/game/macintosh/the-journeyman-project-pegasus-prime","PriceCharting")</x:f>
        <x:v>PriceCharting</x:v>
      </x:c>
      <x:c r="AQ710" s="9"/>
      <x:c r="AR710" s="9"/>
      <x:c r="AS710" s="9"/>
      <x:c r="AT710" s="9"/>
      <x:c r="AU710" s="9"/>
      <x:c r="AV710" s="9"/>
      <x:c r="AW710" s="9"/>
      <x:c r="AX710" s="9"/>
      <x:c r="AY710" s="9"/>
      <x:c r="AZ710" s="9"/>
      <x:c r="BA710" s="11" t="str">
        <x:f>HYPERLINK("https://www.mobygames.com/game/23526/the-journeyman-project-pegasus-prime/","MobyGames")</x:f>
        <x:v>MobyGames</x:v>
      </x:c>
      <x:c r="BB710" s="9"/>
      <x:c r="BC710" s="9"/>
      <x:c r="BD710" s="9"/>
      <x:c r="BE710" s="11" t="str">
        <x:f>HYPERLINK("https://en.wikipedia.org/wiki/The_Journeyman_Project","Wikipedia")</x:f>
        <x:v>Wikipedia</x:v>
      </x:c>
      <x:c r="BF710" s="11" t="str">
        <x:f>HYPERLINK("https://backloggd.com/search/games/The%20Journeyman%20Project%3A%20Pegasus%20Prime/","Backloggd")</x:f>
        <x:v>Backloggd</x:v>
      </x:c>
      <x:c r="BG710" s="9"/>
      <x:c r="BH710" s="9"/>
      <x:c r="BI710" s="12" t="str">
        <x:v>No</x:v>
      </x:c>
      <x:c r="BJ710" s="12" t="str"/>
      <x:c r="BK710" s="12" t="str">
        <x:v>No</x:v>
      </x:c>
      <x:c r="BL710" s="12" t="str"/>
      <x:c r="BM710" s="12" t="str"/>
      <x:c r="BN710" s="12" t="str"/>
      <x:c r="BO710" s="12" t="str"/>
      <x:c r="BP710" s="12" t="str"/>
      <x:c r="BQ710" s="12" t="str"/>
    </x:row>
    <x:row r="711">
      <x:c r="A711" s="9" t="str">
        <x:v>mac-5</x:v>
      </x:c>
      <x:c r="B711" s="9" t="str">
        <x:v>the-journeyman-project-3-legacy-of-time</x:v>
      </x:c>
      <x:c r="C711" s="9" t="str">
        <x:v>Macintosh</x:v>
      </x:c>
      <x:c r="D711" s="9" t="str">
        <x:v>The Journeyman Project 3: Legacy of Time</x:v>
      </x:c>
      <x:c r="E711" s="9" t="str">
        <x:v>Legacy of Time</x:v>
      </x:c>
      <x:c r="F711" s="9" t="str">
        <x:v>Presto Studios</x:v>
      </x:c>
      <x:c r="G711" s="9" t="str">
        <x:v>Red Orb Entertainment (Brøderbund) (NA)</x:v>
      </x:c>
      <x:c r="H711" s="9" t="n">
        <x:v>1998</x:v>
      </x:c>
      <x:c r="I711" s="9" t="str">
        <x:v>Yes</x:v>
      </x:c>
      <x:c r="J711" s="9" t="str">
        <x:v>No</x:v>
      </x:c>
      <x:c r="K711" s="9" t="str">
        <x:v>No</x:v>
      </x:c>
      <x:c r="L711" s="9" t="str">
        <x:v>No</x:v>
      </x:c>
      <x:c r="M711" s="9" t="str">
        <x:v>Sci-fi time-travel adventure</x:v>
      </x:c>
      <x:c r="N711" s="9" t="str">
        <x:v>Live-action + pre-rendered CG</x:v>
      </x:c>
      <x:c r="O711" s="9" t="n">
        <x:v>5</x:v>
      </x:c>
      <x:c r="P711" s="9" t="str">
        <x:v>Pre-rendered CG</x:v>
      </x:c>
      <x:c r="Q711" s="9" t="str">
        <x:v>Released</x:v>
      </x:c>
      <x:c r="R711" s="9" t="str">
        <x:v>Original production</x:v>
      </x:c>
      <x:c r="S711" s="9" t="str">
        <x:v>Windows</x:v>
      </x:c>
      <x:c r="T711" s="9" t="str">
        <x:v>Jerry Rector (Gage Blackwood), Michele Scarabelli, Graham Jarvis, David Fenner, Matt Weinhold (Arthur)</x:v>
      </x:c>
      <x:c r="U711" s="9" t="n">
        <x:v>3</x:v>
      </x:c>
      <x:c r="V711" s="9" t="str">
        <x:v>Yes</x:v>
      </x:c>
      <x:c r="W711" s="9" t="str">
        <x:v>Mouse</x:v>
      </x:c>
      <x:c r="X711" s="9" t="str">
        <x:v>Low</x:v>
      </x:c>
      <x:c r="Y711" s="9" t="str"/>
      <x:c r="Z711" s="9" t="str">
        <x:v>10–15 hr</x:v>
      </x:c>
      <x:c r="AA711" s="9" t="str">
        <x:v>The finale tours Atlantis, Shangri-La and El Dorado with live actors and 360-degree panoramas.</x:v>
      </x:c>
      <x:c r="AB711" s="9" t="str">
        <x:v>None known</x:v>
      </x:c>
      <x:c r="AC711" s="9" t="str">
        <x:v>360-degree panoramic navigation with live-action actors over CG; DVD-ROM edition doubled resolution</x:v>
      </x:c>
      <x:c r="AD711" s="9" t="str">
        <x:v>Moderate</x:v>
      </x:c>
      <x:c r="AE711" s="9" t="str">
        <x:v>Single ending</x:v>
      </x:c>
      <x:c r="AF711" s="9" t="str">
        <x:v>Red Orb's money troubles sent the rights for a fourth game back to Presto, which shelved it to make Myst III: Exile.</x:v>
      </x:c>
      <x:c r="AG711" s="9" t="str">
        <x:v>Hybrid Mac/PC CD-ROM (verify); enhanced DVD-ROM edition; 1999 Windows trilogy box</x:v>
      </x:c>
      <x:c r="AH711" s="9" t="str">
        <x:v>Yes (GOG, Steam)</x:v>
      </x:c>
      <x:c r="AI711" s="9" t="str">
        <x:v>Easy</x:v>
      </x:c>
      <x:c r="AJ711" s="9" t="str">
        <x:v>GOG/Steam (Windows); the Mac CD runs in SheepShaver.</x:v>
      </x:c>
      <x:c r="AK711" s="9" t="str"/>
      <x:c r="AL711" s="10"/>
      <x:c r="AM711" s="10"/>
      <x:c r="AN711" s="10"/>
      <x:c r="AO711" s="9"/>
      <x:c r="AP711" s="11" t="str">
        <x:f>HYPERLINK("https://www.pricecharting.com/search-products?q=The+Journeyman+Project+3%3A+Legacy+of+Time+macintosh&amp;type=prices","PriceCharting")</x:f>
        <x:v>PriceCharting</x:v>
      </x:c>
      <x:c r="AQ711" s="9"/>
      <x:c r="AR711" s="9"/>
      <x:c r="AS711" s="9"/>
      <x:c r="AT711" s="9"/>
      <x:c r="AU711" s="9" t="str">
        <x:v>No market</x:v>
      </x:c>
      <x:c r="AV711" s="9" t="str">
        <x:v>Not listed on PriceCharting, whose Macintosh console has only about 110 items (searched 2026-10-25). The PC version is on GOG ($2.99).</x:v>
      </x:c>
      <x:c r="AW711" s="9"/>
      <x:c r="AX711" s="9"/>
      <x:c r="AY711" s="9" t="str">
        <x:v>81%</x:v>
      </x:c>
      <x:c r="AZ711" s="9"/>
      <x:c r="BA711" s="11" t="str">
        <x:f>HYPERLINK("https://www.mobygames.com/game/680/the-journeyman-project-3-legacy-of-time/","MobyGames")</x:f>
        <x:v>MobyGames</x:v>
      </x:c>
      <x:c r="BB711" s="9"/>
      <x:c r="BC711" s="9"/>
      <x:c r="BD711" s="9"/>
      <x:c r="BE711" s="11" t="str">
        <x:f>HYPERLINK("https://en.wikipedia.org/wiki/The_Journeyman_Project_3:_Legacy_of_Time","Wikipedia")</x:f>
        <x:v>Wikipedia</x:v>
      </x:c>
      <x:c r="BF711" s="11" t="str">
        <x:f>HYPERLINK("https://backloggd.com/search/games/The%20Journeyman%20Project%203%3A%20Legacy%20of%20Time/","Backloggd")</x:f>
        <x:v>Backloggd</x:v>
      </x:c>
      <x:c r="BG711" s="9"/>
      <x:c r="BH711" s="9"/>
      <x:c r="BI711" s="12" t="str">
        <x:v>No</x:v>
      </x:c>
      <x:c r="BJ711" s="12" t="str"/>
      <x:c r="BK711" s="12" t="str">
        <x:v>No</x:v>
      </x:c>
      <x:c r="BL711" s="12" t="str"/>
      <x:c r="BM711" s="12" t="str"/>
      <x:c r="BN711" s="12" t="str"/>
      <x:c r="BO711" s="12" t="str"/>
      <x:c r="BP711" s="12" t="str"/>
      <x:c r="BQ711" s="12" t="str"/>
    </x:row>
    <x:row r="712">
      <x:c r="A712" s="9" t="str">
        <x:v>mac-6</x:v>
      </x:c>
      <x:c r="B712" s="9" t="str">
        <x:v>iron-helix</x:v>
      </x:c>
      <x:c r="C712" s="9" t="str">
        <x:v>Macintosh</x:v>
      </x:c>
      <x:c r="D712" s="9" t="str">
        <x:v>Iron Helix</x:v>
      </x:c>
      <x:c r="E712" s="9" t="str"/>
      <x:c r="F712" s="9" t="str">
        <x:v>Drew Pictures</x:v>
      </x:c>
      <x:c r="G712" s="9" t="str">
        <x:v>Spectrum HoloByte (NA)</x:v>
      </x:c>
      <x:c r="H712" s="9" t="n">
        <x:v>1993</x:v>
      </x:c>
      <x:c r="I712" s="9" t="str">
        <x:v>Yes</x:v>
      </x:c>
      <x:c r="J712" s="9" t="str">
        <x:v>No</x:v>
      </x:c>
      <x:c r="K712" s="9" t="str">
        <x:v>No</x:v>
      </x:c>
      <x:c r="L712" s="9" t="str">
        <x:v>No</x:v>
      </x:c>
      <x:c r="M712" s="9" t="str">
        <x:v>Sci-fi adventure / strategy</x:v>
      </x:c>
      <x:c r="N712" s="9" t="str">
        <x:v>Live-action + pre-rendered CG</x:v>
      </x:c>
      <x:c r="O712" s="9" t="n">
        <x:v>5</x:v>
      </x:c>
      <x:c r="P712" s="9" t="str">
        <x:v>Pre-rendered CG</x:v>
      </x:c>
      <x:c r="Q712" s="9" t="str">
        <x:v>Released</x:v>
      </x:c>
      <x:c r="R712" s="9" t="str">
        <x:v>Original production</x:v>
      </x:c>
      <x:c r="S712" s="9" t="str">
        <x:v>Windows, Sega CD</x:v>
      </x:c>
      <x:c r="T712" s="9" t="str">
        <x:v>Unknown — verify</x:v>
      </x:c>
      <x:c r="U712" s="9" t="n">
        <x:v>1</x:v>
      </x:c>
      <x:c r="V712" s="9" t="str">
        <x:v>Yes</x:v>
      </x:c>
      <x:c r="W712" s="9" t="str">
        <x:v>Mouse</x:v>
      </x:c>
      <x:c r="X712" s="9" t="str">
        <x:v>Low</x:v>
      </x:c>
      <x:c r="Y712" s="9" t="str"/>
      <x:c r="Z712" s="9" t="str">
        <x:v>1–3 hr</x:v>
      </x:c>
      <x:c r="AA712" s="9" t="str">
        <x:v>Steer a remote probe through a doomed warship while a hunter robot stalks you, with live-actor crew logs as clues.</x:v>
      </x:c>
      <x:c r="AB712" s="9" t="str">
        <x:v>None known</x:v>
      </x:c>
      <x:c r="AC712" s="9" t="str">
        <x:v>Small QuickTime windows of rendered corridor movement plus live-action crew video logs</x:v>
      </x:c>
      <x:c r="AD712" s="9" t="str">
        <x:v>Hard; the Defender robot kills quickly and time is limited</x:v>
      </x:c>
      <x:c r="AE712" s="9" t="str">
        <x:v>Win by stopping the ship, or lose to the Defender or the clock</x:v>
      </x:c>
      <x:c r="AF712" s="9" t="str">
        <x:v>Drew Pictures was a San Francisco studio; its rendered environments were showcased as an early Mac CD-ROM technical demo.</x:v>
      </x:c>
      <x:c r="AG712" s="9" t="str">
        <x:v>Mac and Windows CD-ROM (hybrid disc: verify)</x:v>
      </x:c>
      <x:c r="AH712" s="9" t="str">
        <x:v>No</x:v>
      </x:c>
      <x:c r="AI712" s="9" t="str">
        <x:v>Easy</x:v>
      </x:c>
      <x:c r="AJ712" s="9" t="str">
        <x:v>No re-release; Mac disc runs in Basilisk II/SheepShaver.</x:v>
      </x:c>
      <x:c r="AK712" s="9" t="str">
        <x:v>Mac was the lead platform.</x:v>
      </x:c>
      <x:c r="AL712" s="10"/>
      <x:c r="AM712" s="10"/>
      <x:c r="AN712" s="10"/>
      <x:c r="AO712" s="9"/>
      <x:c r="AP712" s="11" t="str">
        <x:f>HYPERLINK("https://www.pricecharting.com/search-products?q=Iron+Helix+macintosh&amp;type=prices","PriceCharting")</x:f>
        <x:v>PriceCharting</x:v>
      </x:c>
      <x:c r="AQ712" s="9"/>
      <x:c r="AR712" s="9"/>
      <x:c r="AS712" s="9"/>
      <x:c r="AT712" s="9"/>
      <x:c r="AU712" s="9" t="str">
        <x:v>No market</x:v>
      </x:c>
      <x:c r="AV712" s="9" t="str">
        <x:v>Not listed on PriceCharting, whose Macintosh console has only about 110 items (searched 2026-10-25).</x:v>
      </x:c>
      <x:c r="AW712" s="9"/>
      <x:c r="AX712" s="9"/>
      <x:c r="AY712" s="9"/>
      <x:c r="AZ712" s="9" t="str">
        <x:v>3.9</x:v>
      </x:c>
      <x:c r="BA712" s="11" t="str">
        <x:f>HYPERLINK("https://www.mobygames.com/game/679/iron-helix/","MobyGames")</x:f>
        <x:v>MobyGames</x:v>
      </x:c>
      <x:c r="BB712" s="9"/>
      <x:c r="BC712" s="9"/>
      <x:c r="BD712" s="9"/>
      <x:c r="BE712" s="11" t="str">
        <x:f>HYPERLINK("https://en.wikipedia.org/wiki/Iron_Helix","Wikipedia")</x:f>
        <x:v>Wikipedia</x:v>
      </x:c>
      <x:c r="BF712" s="11" t="str">
        <x:f>HYPERLINK("https://backloggd.com/search/games/Iron%20Helix/","Backloggd")</x:f>
        <x:v>Backloggd</x:v>
      </x:c>
      <x:c r="BG712" s="9"/>
      <x:c r="BH712" s="9"/>
      <x:c r="BI712" s="12" t="str">
        <x:v>No</x:v>
      </x:c>
      <x:c r="BJ712" s="12" t="str"/>
      <x:c r="BK712" s="12" t="str">
        <x:v>No</x:v>
      </x:c>
      <x:c r="BL712" s="12" t="str"/>
      <x:c r="BM712" s="12" t="str"/>
      <x:c r="BN712" s="12" t="str"/>
      <x:c r="BO712" s="12" t="str"/>
      <x:c r="BP712" s="12" t="str"/>
      <x:c r="BQ712" s="12" t="str"/>
    </x:row>
    <x:row r="713">
      <x:c r="A713" s="9" t="str">
        <x:v>mac-7</x:v>
      </x:c>
      <x:c r="B713" s="9" t="str">
        <x:v>gadget-past-as-future</x:v>
      </x:c>
      <x:c r="C713" s="9" t="str">
        <x:v>Macintosh</x:v>
      </x:c>
      <x:c r="D713" s="9" t="str">
        <x:v>Gadget: Invention, Travel &amp; Adventure</x:v>
      </x:c>
      <x:c r="E713" s="9" t="str">
        <x:v>Gadget (ガジェット); Gadget: Past as Future (PlayStation)</x:v>
      </x:c>
      <x:c r="F713" s="9" t="str">
        <x:v>Synergy Inc. (Haruhiko Shono)</x:v>
      </x:c>
      <x:c r="G713" s="9" t="str">
        <x:v>Synergy (JP), Synergy Interactive (NA)</x:v>
      </x:c>
      <x:c r="H713" s="9" t="n">
        <x:v>1993</x:v>
      </x:c>
      <x:c r="I713" s="9" t="str">
        <x:v>Yes</x:v>
      </x:c>
      <x:c r="J713" s="9" t="str">
        <x:v>Yes</x:v>
      </x:c>
      <x:c r="K713" s="9" t="str">
        <x:v>No</x:v>
      </x:c>
      <x:c r="L713" s="9" t="str">
        <x:v>No</x:v>
      </x:c>
      <x:c r="M713" s="9" t="str">
        <x:v>Interactive story / adventure</x:v>
      </x:c>
      <x:c r="N713" s="9" t="str">
        <x:v>Pre-rendered CG</x:v>
      </x:c>
      <x:c r="O713" s="9" t="n">
        <x:v>7</x:v>
      </x:c>
      <x:c r="P713" s="9" t="str">
        <x:v>Pre-rendered CG</x:v>
      </x:c>
      <x:c r="Q713" s="9" t="str">
        <x:v>Released</x:v>
      </x:c>
      <x:c r="R713" s="9" t="str">
        <x:v>Original production</x:v>
      </x:c>
      <x:c r="S713" s="9" t="str">
        <x:v>Windows, PlayStation (as Gadget: Past as Future)</x:v>
      </x:c>
      <x:c r="T713" s="9" t="str">
        <x:v>—</x:v>
      </x:c>
      <x:c r="U713" s="9" t="n">
        <x:v>1</x:v>
      </x:c>
      <x:c r="V713" s="9" t="str">
        <x:v>Yes</x:v>
      </x:c>
      <x:c r="W713" s="9" t="str">
        <x:v>Mouse</x:v>
      </x:c>
      <x:c r="X713" s="9" t="str">
        <x:v>Low</x:v>
      </x:c>
      <x:c r="Y713" s="9" t="str"/>
      <x:c r="Z713" s="9" t="str">
        <x:v>1–2 hr</x:v>
      </x:c>
      <x:c r="AA713" s="9" t="str">
        <x:v>A dreamlike retro-futurist train journey of pure rendered animation, a cult cyberpunk art piece.</x:v>
      </x:c>
      <x:c r="AB713" s="9" t="str">
        <x:v>None known</x:v>
      </x:c>
      <x:c r="AC713" s="9" t="str">
        <x:v>Pre-rendered CG animations in QuickTime, most of the game is watching rail journeys and scenes</x:v>
      </x:c>
      <x:c r="AD713" s="9" t="str">
        <x:v>Easy; few puzzles</x:v>
      </x:c>
      <x:c r="AE713" s="9" t="str">
        <x:v>Single ending</x:v>
      </x:c>
      <x:c r="AF713" s="9" t="str">
        <x:v>Haruhiko Shono's 1930s-styled steampunk world influenced later artists; it was also adapted to Japanese PlayStation as Past as Future.</x:v>
      </x:c>
      <x:c r="AG713" s="9" t="str">
        <x:v>Japanese Mac release 1993; English Mac/Windows release ~1994 (hybrid disc: verify)</x:v>
      </x:c>
      <x:c r="AH713" s="9" t="str">
        <x:v>No</x:v>
      </x:c>
      <x:c r="AI713" s="9" t="str">
        <x:v>Easy</x:v>
      </x:c>
      <x:c r="AJ713" s="9" t="str">
        <x:v>No official re-release; Mac disc runs in SheepShaver.</x:v>
      </x:c>
      <x:c r="AK713" s="9" t="str">
        <x:v>English year and publisher: verify.</x:v>
      </x:c>
      <x:c r="AL713" s="10" t="n">
        <x:v>9.92</x:v>
      </x:c>
      <x:c r="AM713" s="10" t="n">
        <x:v>39</x:v>
      </x:c>
      <x:c r="AN713" s="10" t="n">
        <x:v>78</x:v>
      </x:c>
      <x:c r="AO713" s="9" t="str">
        <x:v>2026-10-24</x:v>
      </x:c>
      <x:c r="AP713" s="11" t="str">
        <x:f>HYPERLINK("https://www.pricecharting.com/game/macintosh/gadget-invention-travel-&amp;-adventure","PriceCharting")</x:f>
        <x:v>PriceCharting</x:v>
      </x:c>
      <x:c r="AQ713" s="9"/>
      <x:c r="AR713" s="9"/>
      <x:c r="AS713" s="9"/>
      <x:c r="AT713" s="9"/>
      <x:c r="AU713" s="9"/>
      <x:c r="AV713" s="9"/>
      <x:c r="AW713" s="9"/>
      <x:c r="AX713" s="9"/>
      <x:c r="AY713" s="9"/>
      <x:c r="AZ713" s="9" t="str">
        <x:v>4.4</x:v>
      </x:c>
      <x:c r="BA713" s="11" t="str">
        <x:f>HYPERLINK("https://www.mobygames.com/game/3741/gadget-invention-travel-adventure/","MobyGames")</x:f>
        <x:v>MobyGames</x:v>
      </x:c>
      <x:c r="BB713" s="9"/>
      <x:c r="BC713" s="9"/>
      <x:c r="BD713" s="9"/>
      <x:c r="BE713" s="11" t="str">
        <x:f>HYPERLINK("https://en.wikipedia.org/wiki/Gadget:_Invention,_Travel,_%26_Adventure","Wikipedia")</x:f>
        <x:v>Wikipedia</x:v>
      </x:c>
      <x:c r="BF713" s="11" t="str">
        <x:f>HYPERLINK("https://backloggd.com/search/games/Gadget%3A%20Invention%2C%20Travel%20%26%20Adventure/","Backloggd")</x:f>
        <x:v>Backloggd</x:v>
      </x:c>
      <x:c r="BG713" s="9"/>
      <x:c r="BH713" s="9"/>
      <x:c r="BI713" s="12" t="str">
        <x:v>No</x:v>
      </x:c>
      <x:c r="BJ713" s="12" t="str"/>
      <x:c r="BK713" s="12" t="str">
        <x:v>No</x:v>
      </x:c>
      <x:c r="BL713" s="12" t="str"/>
      <x:c r="BM713" s="12" t="str"/>
      <x:c r="BN713" s="12" t="str"/>
      <x:c r="BO713" s="12" t="str"/>
      <x:c r="BP713" s="12" t="str"/>
      <x:c r="BQ713" s="12" t="str"/>
    </x:row>
    <x:row r="714">
      <x:c r="A714" s="9" t="str">
        <x:v>mac-8</x:v>
      </x:c>
      <x:c r="B714" s="9" t="str">
        <x:v>l-zone</x:v>
      </x:c>
      <x:c r="C714" s="9" t="str">
        <x:v>Macintosh</x:v>
      </x:c>
      <x:c r="D714" s="9" t="str">
        <x:v>L-Zone</x:v>
      </x:c>
      <x:c r="E714" s="9" t="str"/>
      <x:c r="F714" s="9" t="str">
        <x:v>Synergy Inc. (Haruhiko Shono)</x:v>
      </x:c>
      <x:c r="G714" s="9" t="str">
        <x:v>Synergy (JP); Synergy Interactive (NA)</x:v>
      </x:c>
      <x:c r="H714" s="9" t="n">
        <x:v>1992</x:v>
      </x:c>
      <x:c r="I714" s="9" t="str">
        <x:v>Yes</x:v>
      </x:c>
      <x:c r="J714" s="9" t="str">
        <x:v>Yes</x:v>
      </x:c>
      <x:c r="K714" s="9" t="str">
        <x:v>No</x:v>
      </x:c>
      <x:c r="L714" s="9" t="str">
        <x:v>No</x:v>
      </x:c>
      <x:c r="M714" s="9" t="str">
        <x:v>Exploration adventure</x:v>
      </x:c>
      <x:c r="N714" s="9" t="str">
        <x:v>Pre-rendered CG</x:v>
      </x:c>
      <x:c r="O714" s="9" t="n">
        <x:v>5</x:v>
      </x:c>
      <x:c r="P714" s="9" t="str">
        <x:v>Pre-rendered CG</x:v>
      </x:c>
      <x:c r="Q714" s="9" t="str">
        <x:v>Released</x:v>
      </x:c>
      <x:c r="R714" s="9" t="str">
        <x:v>Original production</x:v>
      </x:c>
      <x:c r="S714" s="9" t="str">
        <x:v>NEC PC-9801, Windows</x:v>
      </x:c>
      <x:c r="T714" s="9" t="str">
        <x:v>—</x:v>
      </x:c>
      <x:c r="U714" s="9" t="n">
        <x:v>1</x:v>
      </x:c>
      <x:c r="V714" s="9" t="str">
        <x:v>Yes</x:v>
      </x:c>
      <x:c r="W714" s="9" t="str">
        <x:v>Mouse</x:v>
      </x:c>
      <x:c r="X714" s="9" t="str">
        <x:v>Low</x:v>
      </x:c>
      <x:c r="Y714" s="9" t="str"/>
      <x:c r="Z714" s="9" t="str">
        <x:v>Under 1 hr</x:v>
      </x:c>
      <x:c r="AA714" s="9" t="str">
        <x:v>Haruhiko Shono's first CD-ROM, a wordless trip through an empty machine city that predates Myst.</x:v>
      </x:c>
      <x:c r="AB714" s="9" t="str">
        <x:v>None known</x:v>
      </x:c>
      <x:c r="AC714" s="9" t="str">
        <x:v>Small rendered CG animations played as you switch on the city's machines</x:v>
      </x:c>
      <x:c r="AD714" s="9" t="str">
        <x:v>Easy</x:v>
      </x:c>
      <x:c r="AE714" s="9" t="str">
        <x:v>Single ending</x:v>
      </x:c>
      <x:c r="AF714" s="9" t="str">
        <x:v>Computer Gaming World called it 'an embodiment of technological adventure in the future tense'.</x:v>
      </x:c>
      <x:c r="AG714" s="9" t="str">
        <x:v>Japanese Mac original; English release reviewed in the US (verify publisher)</x:v>
      </x:c>
      <x:c r="AH714" s="9" t="str">
        <x:v>No</x:v>
      </x:c>
      <x:c r="AI714" s="9" t="str">
        <x:v>Emulation only</x:v>
      </x:c>
      <x:c r="AJ714" s="9" t="str">
        <x:v>No re-release; rare disc, playable in Basilisk II with a disc image.</x:v>
      </x:c>
      <x:c r="AK714" s="9" t="str">
        <x:v>Almost wordless, so the English/Japanese difference is small. NA availability: verify.</x:v>
      </x:c>
      <x:c r="AL714" s="10"/>
      <x:c r="AM714" s="10"/>
      <x:c r="AN714" s="10"/>
      <x:c r="AO714" s="9"/>
      <x:c r="AP714" s="11" t="str">
        <x:f>HYPERLINK("https://www.pricecharting.com/search-products?q=L-Zone+macintosh&amp;type=prices","PriceCharting")</x:f>
        <x:v>PriceCharting</x:v>
      </x:c>
      <x:c r="AQ714" s="9"/>
      <x:c r="AR714" s="9"/>
      <x:c r="AS714" s="9"/>
      <x:c r="AT714" s="9"/>
      <x:c r="AU714" s="9" t="str">
        <x:v>No market</x:v>
      </x:c>
      <x:c r="AV714" s="9" t="str">
        <x:v>Not listed on PriceCharting, whose Macintosh console has only about 110 items (searched 2026-10-25).</x:v>
      </x:c>
      <x:c r="AW714" s="9"/>
      <x:c r="AX714" s="9"/>
      <x:c r="AY714" s="9"/>
      <x:c r="AZ714" s="9" t="str">
        <x:v>3.6</x:v>
      </x:c>
      <x:c r="BA714" s="11" t="str">
        <x:f>HYPERLINK("https://www.mobygames.com/game/2302/l-zone/","MobyGames")</x:f>
        <x:v>MobyGames</x:v>
      </x:c>
      <x:c r="BB714" s="9"/>
      <x:c r="BC714" s="9"/>
      <x:c r="BD714" s="9"/>
      <x:c r="BE714" s="11" t="str">
        <x:f>HYPERLINK("https://en.wikipedia.org/wiki/L-Zone","Wikipedia")</x:f>
        <x:v>Wikipedia</x:v>
      </x:c>
      <x:c r="BF714" s="11" t="str">
        <x:f>HYPERLINK("https://backloggd.com/search/games/L-Zone/","Backloggd")</x:f>
        <x:v>Backloggd</x:v>
      </x:c>
      <x:c r="BG714" s="9"/>
      <x:c r="BH714" s="9"/>
      <x:c r="BI714" s="12" t="str">
        <x:v>No</x:v>
      </x:c>
      <x:c r="BJ714" s="12" t="str"/>
      <x:c r="BK714" s="12" t="str">
        <x:v>No</x:v>
      </x:c>
      <x:c r="BL714" s="12" t="str"/>
      <x:c r="BM714" s="12" t="str"/>
      <x:c r="BN714" s="12" t="str"/>
      <x:c r="BO714" s="12" t="str"/>
      <x:c r="BP714" s="12" t="str"/>
      <x:c r="BQ714" s="12" t="str"/>
    </x:row>
    <x:row r="715">
      <x:c r="A715" s="9" t="str">
        <x:v>mac-9</x:v>
      </x:c>
      <x:c r="B715" s="9" t="str">
        <x:v>hell-cab</x:v>
      </x:c>
      <x:c r="C715" s="9" t="str">
        <x:v>Macintosh</x:v>
      </x:c>
      <x:c r="D715" s="9" t="str">
        <x:v>Hell Cab</x:v>
      </x:c>
      <x:c r="E715" s="9" t="str"/>
      <x:c r="F715" s="9" t="str">
        <x:v>Digital Fusion (Pepe Moreno)</x:v>
      </x:c>
      <x:c r="G715" s="9" t="str">
        <x:v>Time Warner Interactive (NA)</x:v>
      </x:c>
      <x:c r="H715" s="9" t="n">
        <x:v>1993</x:v>
      </x:c>
      <x:c r="I715" s="9" t="str">
        <x:v>Yes</x:v>
      </x:c>
      <x:c r="J715" s="9" t="str">
        <x:v>No</x:v>
      </x:c>
      <x:c r="K715" s="9" t="str">
        <x:v>No</x:v>
      </x:c>
      <x:c r="L715" s="9" t="str">
        <x:v>No</x:v>
      </x:c>
      <x:c r="M715" s="9" t="str">
        <x:v>Horror adventure</x:v>
      </x:c>
      <x:c r="N715" s="9" t="str">
        <x:v>Animated</x:v>
      </x:c>
      <x:c r="O715" s="9" t="n">
        <x:v>4</x:v>
      </x:c>
      <x:c r="P715" s="9" t="str">
        <x:v>FMV adventure</x:v>
      </x:c>
      <x:c r="Q715" s="9" t="str">
        <x:v>Released</x:v>
      </x:c>
      <x:c r="R715" s="9" t="str">
        <x:v>Original production</x:v>
      </x:c>
      <x:c r="S715" s="9" t="str">
        <x:v>Windows</x:v>
      </x:c>
      <x:c r="T715" s="9" t="str">
        <x:v>—</x:v>
      </x:c>
      <x:c r="U715" s="9" t="n">
        <x:v>1</x:v>
      </x:c>
      <x:c r="V715" s="9" t="str">
        <x:v>Yes</x:v>
      </x:c>
      <x:c r="W715" s="9" t="str">
        <x:v>Mouse</x:v>
      </x:c>
      <x:c r="X715" s="9" t="str">
        <x:v>Low</x:v>
      </x:c>
      <x:c r="Y715" s="9" t="str"/>
      <x:c r="Z715" s="9" t="str">
        <x:v>1–2 hr</x:v>
      </x:c>
      <x:c r="AA715" s="9" t="str">
        <x:v>A New York cab ride with the devil that drops you into Rome, the Jurassic and WWI, made by an 18-year-old Jules Urbach.</x:v>
      </x:c>
      <x:c r="AB715" s="9" t="str">
        <x:v>None known</x:v>
      </x:c>
      <x:c r="AC715" s="9" t="str">
        <x:v>QuickTime animation and digitized-art sequences streamed from CD; reviewers noted slow streaming</x:v>
      </x:c>
      <x:c r="AD715" s="9" t="str">
        <x:v>Easy–moderate; linear</x:v>
      </x:c>
      <x:c r="AE715" s="9" t="str">
        <x:v>Escape with your soul, or lose it to the devil (verify)</x:v>
      </x:c>
      <x:c r="AF715" s="9" t="str">
        <x:v>It was Jules Urbach's first game (later OTOY founder), built as a showcase for comics artist Pepe Moreno.</x:v>
      </x:c>
      <x:c r="AG715" s="9" t="str">
        <x:v>Mac and Windows (hybrid disc: verify)</x:v>
      </x:c>
      <x:c r="AH715" s="9" t="str">
        <x:v>No</x:v>
      </x:c>
      <x:c r="AI715" s="9" t="str">
        <x:v>Easy</x:v>
      </x:c>
      <x:c r="AJ715" s="9" t="str">
        <x:v>No re-release; Mac disc runs in Basilisk II/SheepShaver.</x:v>
      </x:c>
      <x:c r="AK715" s="9" t="str"/>
      <x:c r="AL715" s="10" t="n">
        <x:v>13.49</x:v>
      </x:c>
      <x:c r="AM715" s="10" t="n">
        <x:v>29.99</x:v>
      </x:c>
      <x:c r="AN715" s="10" t="n">
        <x:v>60</x:v>
      </x:c>
      <x:c r="AO715" s="9" t="str">
        <x:v>2026-10-24</x:v>
      </x:c>
      <x:c r="AP715" s="11" t="str">
        <x:f>HYPERLINK("https://www.pricecharting.com/game/macintosh/hell-cab","PriceCharting")</x:f>
        <x:v>PriceCharting</x:v>
      </x:c>
      <x:c r="AQ715" s="9"/>
      <x:c r="AR715" s="9"/>
      <x:c r="AS715" s="9"/>
      <x:c r="AT715" s="9"/>
      <x:c r="AU715" s="9"/>
      <x:c r="AV715" s="9"/>
      <x:c r="AW715" s="9"/>
      <x:c r="AX715" s="9"/>
      <x:c r="AY715" s="9"/>
      <x:c r="AZ715" s="9" t="str">
        <x:v>3.0</x:v>
      </x:c>
      <x:c r="BA715" s="11" t="str">
        <x:f>HYPERLINK("https://www.mobygames.com/game/4384/hell-cab/","MobyGames")</x:f>
        <x:v>MobyGames</x:v>
      </x:c>
      <x:c r="BB715" s="9" t="str">
        <x:v>55%</x:v>
      </x:c>
      <x:c r="BC715" s="9" t="str">
        <x:v>GameRankings, 1 review</x:v>
      </x:c>
      <x:c r="BD715" s="9" t="str">
        <x:f>HYPERLINK("https://web.archive.org/web/20191209014522id_/https://www.gamerankings.com/mac/564214-hellcab/","Source")</x:f>
        <x:v>Source</x:v>
      </x:c>
      <x:c r="BE715" s="11" t="str">
        <x:f>HYPERLINK("https://en.wikipedia.org/wiki/Hell_Cab","Wikipedia")</x:f>
        <x:v>Wikipedia</x:v>
      </x:c>
      <x:c r="BF715" s="11" t="str">
        <x:f>HYPERLINK("https://backloggd.com/search/games/Hell%20Cab/","Backloggd")</x:f>
        <x:v>Backloggd</x:v>
      </x:c>
      <x:c r="BG715" s="9"/>
      <x:c r="BH715" s="9"/>
      <x:c r="BI715" s="12" t="str">
        <x:v>No</x:v>
      </x:c>
      <x:c r="BJ715" s="12" t="str"/>
      <x:c r="BK715" s="12" t="str">
        <x:v>No</x:v>
      </x:c>
      <x:c r="BL715" s="12" t="str"/>
      <x:c r="BM715" s="12" t="str"/>
      <x:c r="BN715" s="12" t="str"/>
      <x:c r="BO715" s="12" t="str"/>
      <x:c r="BP715" s="12" t="str"/>
      <x:c r="BQ715" s="12" t="str"/>
    </x:row>
    <x:row r="716">
      <x:c r="A716" s="9" t="str">
        <x:v>mac-10</x:v>
      </x:c>
      <x:c r="B716" s="9" t="str">
        <x:v>total-distortion</x:v>
      </x:c>
      <x:c r="C716" s="9" t="str">
        <x:v>Macintosh</x:v>
      </x:c>
      <x:c r="D716" s="9" t="str">
        <x:v>Total Distortion</x:v>
      </x:c>
      <x:c r="E716" s="9" t="str"/>
      <x:c r="F716" s="9" t="str">
        <x:v>Pop Rocket (Joe Sparks)</x:v>
      </x:c>
      <x:c r="G716" s="9" t="str">
        <x:v>Pop Rocket; Electronic Arts (NA distribution)</x:v>
      </x:c>
      <x:c r="H716" s="9" t="n">
        <x:v>1995</x:v>
      </x:c>
      <x:c r="I716" s="9" t="str">
        <x:v>Yes</x:v>
      </x:c>
      <x:c r="J716" s="9" t="str">
        <x:v>No</x:v>
      </x:c>
      <x:c r="K716" s="9" t="str">
        <x:v>No</x:v>
      </x:c>
      <x:c r="L716" s="9" t="str">
        <x:v>No</x:v>
      </x:c>
      <x:c r="M716" s="9" t="str">
        <x:v>Music-video adventure</x:v>
      </x:c>
      <x:c r="N716" s="9" t="str">
        <x:v>Live-action + CG</x:v>
      </x:c>
      <x:c r="O716" s="9" t="n">
        <x:v>6</x:v>
      </x:c>
      <x:c r="P716" s="9" t="str">
        <x:v>FMV adventure</x:v>
      </x:c>
      <x:c r="Q716" s="9" t="str">
        <x:v>Released</x:v>
      </x:c>
      <x:c r="R716" s="9" t="str">
        <x:v>Original production</x:v>
      </x:c>
      <x:c r="S716" s="9" t="str">
        <x:v>Windows</x:v>
      </x:c>
      <x:c r="T716" s="9" t="str">
        <x:v>Unknown — verify</x:v>
      </x:c>
      <x:c r="U716" s="9" t="n">
        <x:v>1</x:v>
      </x:c>
      <x:c r="V716" s="9" t="str">
        <x:v>Yes</x:v>
      </x:c>
      <x:c r="W716" s="9" t="str">
        <x:v>Mouse</x:v>
      </x:c>
      <x:c r="X716" s="9" t="str">
        <x:v>Low–Med</x:v>
      </x:c>
      <x:c r="Y716" s="9" t="str">
        <x:v>Original rock songs by Pop Rocket; low risk unless claimed by the original artists</x:v>
      </x:c>
      <x:c r="Z716" s="9" t="str">
        <x:v>10+ hr</x:v>
      </x:c>
      <x:c r="AA716" s="9" t="str">
        <x:v>Film footage in a rock-and-roll dimension, cut music videos and win guitar battles; the game-over song mocks you.</x:v>
      </x:c>
      <x:c r="AB716" s="9" t="str">
        <x:v>None known</x:v>
      </x:c>
      <x:c r="AC716" s="9" t="str">
        <x:v>QuickTime live-action and CG music videos in small windows</x:v>
      </x:c>
      <x:c r="AD716" s="9" t="str">
        <x:v>Hard; food/sleep survival and money management</x:v>
      </x:c>
      <x:c r="AE716" s="9" t="str">
        <x:v>Win by reaching your chosen fame/money goal; deaths end with a mocking song</x:v>
      </x:c>
      <x:c r="AF716" s="9" t="str">
        <x:v>It slipped two years from its planned 1993 release and sold over 100,000 copies.</x:v>
      </x:c>
      <x:c r="AG716" s="9" t="str">
        <x:v>Hybrid Mac/PC disc</x:v>
      </x:c>
      <x:c r="AH716" s="9" t="str">
        <x:v>No</x:v>
      </x:c>
      <x:c r="AI716" s="9" t="str">
        <x:v>Easy</x:v>
      </x:c>
      <x:c r="AJ716" s="9" t="str">
        <x:v>Original hybrid disc in SheepShaver.</x:v>
      </x:c>
      <x:c r="AK716" s="9" t="str">
        <x:v>Rights later returned to Joe Sparks; a modern release: verify.</x:v>
      </x:c>
      <x:c r="AL716" s="10"/>
      <x:c r="AM716" s="10" t="n">
        <x:v>9.27</x:v>
      </x:c>
      <x:c r="AN716" s="10" t="n">
        <x:v>26.98</x:v>
      </x:c>
      <x:c r="AO716" s="9" t="str">
        <x:v>2026-10-24</x:v>
      </x:c>
      <x:c r="AP716" s="11" t="str">
        <x:f>HYPERLINK("https://www.pricecharting.com/search-products?q=Total+Distortion+macintosh&amp;type=prices","PriceCharting")</x:f>
        <x:v>PriceCharting</x:v>
      </x:c>
      <x:c r="AQ716" s="9"/>
      <x:c r="AR716" s="9"/>
      <x:c r="AS716" s="9"/>
      <x:c r="AT716" s="9"/>
      <x:c r="AU716" s="9"/>
      <x:c r="AV716" s="9"/>
      <x:c r="AW716" s="9"/>
      <x:c r="AX716" s="9"/>
      <x:c r="AY716" s="9"/>
      <x:c r="AZ716" s="9" t="str">
        <x:v>2.8</x:v>
      </x:c>
      <x:c r="BA716" s="11" t="str">
        <x:f>HYPERLINK("https://www.mobygames.com/game/686/total-distortion/","MobyGames")</x:f>
        <x:v>MobyGames</x:v>
      </x:c>
      <x:c r="BB716" s="9" t="str">
        <x:v>60%</x:v>
      </x:c>
      <x:c r="BC716" s="9" t="str">
        <x:v>MacUser on Wikipedia, 1 review</x:v>
      </x:c>
      <x:c r="BD716" s="9" t="str">
        <x:f>HYPERLINK("https://en.wikipedia.org/wiki/Total_Distortion","Source")</x:f>
        <x:v>Source</x:v>
      </x:c>
      <x:c r="BE716" s="11" t="str">
        <x:f>HYPERLINK("https://en.wikipedia.org/wiki/Total_Distortion","Wikipedia")</x:f>
        <x:v>Wikipedia</x:v>
      </x:c>
      <x:c r="BF716" s="11" t="str">
        <x:f>HYPERLINK("https://backloggd.com/search/games/Total%20Distortion/","Backloggd")</x:f>
        <x:v>Backloggd</x:v>
      </x:c>
      <x:c r="BG716" s="9"/>
      <x:c r="BH716" s="9"/>
      <x:c r="BI716" s="12" t="str">
        <x:v>No</x:v>
      </x:c>
      <x:c r="BJ716" s="12" t="str"/>
      <x:c r="BK716" s="12" t="str">
        <x:v>No</x:v>
      </x:c>
      <x:c r="BL716" s="12" t="str"/>
      <x:c r="BM716" s="12" t="str"/>
      <x:c r="BN716" s="12" t="str"/>
      <x:c r="BO716" s="12" t="str"/>
      <x:c r="BP716" s="12" t="str"/>
      <x:c r="BQ716" s="12" t="str"/>
    </x:row>
    <x:row r="717">
      <x:c r="A717" s="9" t="str">
        <x:v>mac-11</x:v>
      </x:c>
      <x:c r="B717" s="9" t="str">
        <x:v>the-residents-freak-show</x:v>
      </x:c>
      <x:c r="C717" s="9" t="str">
        <x:v>Macintosh</x:v>
      </x:c>
      <x:c r="D717" s="9" t="str">
        <x:v>The Residents' Freak Show</x:v>
      </x:c>
      <x:c r="E717" s="9" t="str">
        <x:v>The Residents: Freak Show</x:v>
      </x:c>
      <x:c r="F717" s="9" t="str">
        <x:v>The Residents, Jim Ludtke</x:v>
      </x:c>
      <x:c r="G717" s="9" t="str">
        <x:v>The Voyager Company (NA)</x:v>
      </x:c>
      <x:c r="H717" s="9" t="n">
        <x:v>1994</x:v>
      </x:c>
      <x:c r="I717" s="9" t="str">
        <x:v>Yes</x:v>
      </x:c>
      <x:c r="J717" s="9" t="str">
        <x:v>No</x:v>
      </x:c>
      <x:c r="K717" s="9" t="str">
        <x:v>No</x:v>
      </x:c>
      <x:c r="L717" s="9" t="str">
        <x:v>No</x:v>
      </x:c>
      <x:c r="M717" s="9" t="str">
        <x:v>Interactive multimedia</x:v>
      </x:c>
      <x:c r="N717" s="9" t="str">
        <x:v>Pre-rendered CG</x:v>
      </x:c>
      <x:c r="O717" s="9" t="n">
        <x:v>5</x:v>
      </x:c>
      <x:c r="P717" s="9" t="str">
        <x:v>Pre-rendered CG</x:v>
      </x:c>
      <x:c r="Q717" s="9" t="str">
        <x:v>Released</x:v>
      </x:c>
      <x:c r="R717" s="9" t="str">
        <x:v>The Residents' 1990 album Freak Show</x:v>
      </x:c>
      <x:c r="S717" s="9" t="str">
        <x:v>Windows</x:v>
      </x:c>
      <x:c r="T717" s="9" t="str">
        <x:v>The Residents (music)</x:v>
      </x:c>
      <x:c r="U717" s="9" t="n">
        <x:v>1</x:v>
      </x:c>
      <x:c r="V717" s="9" t="str">
        <x:v>Yes</x:v>
      </x:c>
      <x:c r="W717" s="9" t="str">
        <x:v>Mouse</x:v>
      </x:c>
      <x:c r="X717" s="9" t="str">
        <x:v>Med</x:v>
      </x:c>
      <x:c r="Y717" s="9" t="str">
        <x:v>The Residents' music (Ralph Records / The Cryptic Corporation)</x:v>
      </x:c>
      <x:c r="Z717" s="9" t="str">
        <x:v>1 hr</x:v>
      </x:c>
      <x:c r="AA717" s="9" t="str">
        <x:v>Walk a rendered carnival after hours and meet the Residents' freaks in sung CG vignettes.</x:v>
      </x:c>
      <x:c r="AB717" s="9" t="str">
        <x:v>None known</x:v>
      </x:c>
      <x:c r="AC717" s="9" t="str">
        <x:v>Pre-rendered 3D animations with Residents songs in QuickTime</x:v>
      </x:c>
      <x:c r="AD717" s="9" t="str">
        <x:v>Easy; exploration only</x:v>
      </x:c>
      <x:c r="AE717" s="9" t="str">
        <x:v>None; explore until done</x:v>
      </x:c>
      <x:c r="AF717" s="9" t="str">
        <x:v>Built on the 1990 Freak Show album; CG by Jim Ludtke, who went on to Bad Day on the Midway.</x:v>
      </x:c>
      <x:c r="AG717" s="9" t="str">
        <x:v>Mac CD first; Windows version 1995 (verify)</x:v>
      </x:c>
      <x:c r="AH717" s="9" t="str">
        <x:v>No</x:v>
      </x:c>
      <x:c r="AI717" s="9" t="str">
        <x:v>Easy</x:v>
      </x:c>
      <x:c r="AJ717" s="9" t="str">
        <x:v>No re-release; runs in SheepShaver.</x:v>
      </x:c>
      <x:c r="AK717" s="9" t="str"/>
      <x:c r="AL717" s="10"/>
      <x:c r="AM717" s="10"/>
      <x:c r="AN717" s="10"/>
      <x:c r="AO717" s="9"/>
      <x:c r="AP717" s="11" t="str">
        <x:f>HYPERLINK("https://www.pricecharting.com/search-products?q=The+Residents%27+Freak+Show+macintosh&amp;type=prices","PriceCharting")</x:f>
        <x:v>PriceCharting</x:v>
      </x:c>
      <x:c r="AQ717" s="9"/>
      <x:c r="AR717" s="9"/>
      <x:c r="AS717" s="9"/>
      <x:c r="AT717" s="9"/>
      <x:c r="AU717" s="9" t="str">
        <x:v>No market</x:v>
      </x:c>
      <x:c r="AV717" s="9" t="str">
        <x:v>Not listed on PriceCharting, whose Macintosh console has only about 110 items (searched 2026-10-25).</x:v>
      </x:c>
      <x:c r="AW717" s="9"/>
      <x:c r="AX717" s="9"/>
      <x:c r="AY717" s="9"/>
      <x:c r="AZ717" s="9"/>
      <x:c r="BA717" s="11" t="str">
        <x:f>HYPERLINK("https://www.mobygames.com/game/11264/the-residents-freak-show/","MobyGames")</x:f>
        <x:v>MobyGames</x:v>
      </x:c>
      <x:c r="BB717" s="9"/>
      <x:c r="BC717" s="9"/>
      <x:c r="BD717" s="9"/>
      <x:c r="BE717" s="11" t="str">
        <x:f>HYPERLINK("https://en.wikipedia.org/wiki/Freak_Show_(The_Residents_album)","Wikipedia")</x:f>
        <x:v>Wikipedia</x:v>
      </x:c>
      <x:c r="BF717" s="11" t="str">
        <x:f>HYPERLINK("https://backloggd.com/search/games/The%20Residents%27%20Freak%20Show/","Backloggd")</x:f>
        <x:v>Backloggd</x:v>
      </x:c>
      <x:c r="BG717" s="9"/>
      <x:c r="BH717" s="9"/>
      <x:c r="BI717" s="12" t="str">
        <x:v>No</x:v>
      </x:c>
      <x:c r="BJ717" s="12" t="str"/>
      <x:c r="BK717" s="12" t="str">
        <x:v>No</x:v>
      </x:c>
      <x:c r="BL717" s="12" t="str"/>
      <x:c r="BM717" s="12" t="str"/>
      <x:c r="BN717" s="12" t="str"/>
      <x:c r="BO717" s="12" t="str"/>
      <x:c r="BP717" s="12" t="str"/>
      <x:c r="BQ717" s="12" t="str"/>
    </x:row>
    <x:row r="718">
      <x:c r="A718" s="9" t="str">
        <x:v>mac-12</x:v>
      </x:c>
      <x:c r="B718" s="9" t="str">
        <x:v>bad-day-on-the-midway</x:v>
      </x:c>
      <x:c r="C718" s="9" t="str">
        <x:v>Macintosh</x:v>
      </x:c>
      <x:c r="D718" s="9" t="str">
        <x:v>Bad Day on the Midway</x:v>
      </x:c>
      <x:c r="E718" s="9" t="str">
        <x:v>The Residents' Bad Day on the Midway</x:v>
      </x:c>
      <x:c r="F718" s="9" t="str">
        <x:v>Inscape (The Residents, Jim Ludtke)</x:v>
      </x:c>
      <x:c r="G718" s="9" t="str">
        <x:v>Inscape (NA)</x:v>
      </x:c>
      <x:c r="H718" s="9" t="n">
        <x:v>1995</x:v>
      </x:c>
      <x:c r="I718" s="9" t="str">
        <x:v>Yes</x:v>
      </x:c>
      <x:c r="J718" s="9" t="str">
        <x:v>No</x:v>
      </x:c>
      <x:c r="K718" s="9" t="str">
        <x:v>No</x:v>
      </x:c>
      <x:c r="L718" s="9" t="str">
        <x:v>No</x:v>
      </x:c>
      <x:c r="M718" s="9" t="str">
        <x:v>Adventure</x:v>
      </x:c>
      <x:c r="N718" s="9" t="str">
        <x:v>Pre-rendered CG</x:v>
      </x:c>
      <x:c r="O718" s="9" t="n">
        <x:v>4</x:v>
      </x:c>
      <x:c r="P718" s="9" t="str">
        <x:v>Pre-rendered CG</x:v>
      </x:c>
      <x:c r="Q718" s="9" t="str">
        <x:v>Released</x:v>
      </x:c>
      <x:c r="R718" s="9" t="str">
        <x:v>Original production</x:v>
      </x:c>
      <x:c r="S718" s="9" t="str">
        <x:v>Windows</x:v>
      </x:c>
      <x:c r="T718" s="9" t="str">
        <x:v>Diana Alden (Timmy), Molly Harvey, Ollie Gordon, Mark Morgan, Sharon Ludtke, John Sanborn; Residents under pseudonyms</x:v>
      </x:c>
      <x:c r="U718" s="9" t="n">
        <x:v>1</x:v>
      </x:c>
      <x:c r="V718" s="9" t="str">
        <x:v>Yes</x:v>
      </x:c>
      <x:c r="W718" s="9" t="str">
        <x:v>Mouse</x:v>
      </x:c>
      <x:c r="X718" s="9" t="str">
        <x:v>Med</x:v>
      </x:c>
      <x:c r="Y718" s="9" t="str">
        <x:v>The Residents' score (released as the album Have a Bad Day)</x:v>
      </x:c>
      <x:c r="Z718" s="9" t="str">
        <x:v>2–3 hr</x:v>
      </x:c>
      <x:c r="AA718" s="9" t="str">
        <x:v>Jump between the minds of carnival-goers in a dark Residents fairground where who survives until midnight decides the ending.</x:v>
      </x:c>
      <x:c r="AB718" s="9" t="str">
        <x:v>None known</x:v>
      </x:c>
      <x:c r="AC718" s="9" t="str">
        <x:v>Pre-rendered CG navigation and animated character vignettes with voiced monologues</x:v>
      </x:c>
      <x:c r="AD718" s="9" t="str">
        <x:v>Easy; no puzzles or action</x:v>
      </x:c>
      <x:c r="AE718" s="9" t="str">
        <x:v>Multiple, by which characters survive until midnight</x:v>
      </x:c>
      <x:c r="AF718" s="9" t="str">
        <x:v>Ron Howard's Imagine TV optioned it for a David Lynch series; the ex-Inscape CEO released it as freeware in 2022.</x:v>
      </x:c>
      <x:c r="AG718" s="9" t="str">
        <x:v>Hybrid Mac/PC disc (verify)</x:v>
      </x:c>
      <x:c r="AH718" s="9" t="str">
        <x:v>Yes (freeware since 2022)</x:v>
      </x:c>
      <x:c r="AI718" s="9" t="str">
        <x:v>Easy</x:v>
      </x:c>
      <x:c r="AJ718" s="9" t="str">
        <x:v>Released as freeware in 2022; the Mac disc runs in SheepShaver.</x:v>
      </x:c>
      <x:c r="AK718" s="9" t="str"/>
      <x:c r="AL718" s="10"/>
      <x:c r="AM718" s="10"/>
      <x:c r="AN718" s="10"/>
      <x:c r="AO718" s="9"/>
      <x:c r="AP718" s="11" t="str">
        <x:f>HYPERLINK("https://www.pricecharting.com/search-products?q=Bad+Day+on+the+Midway+macintosh&amp;type=prices","PriceCharting")</x:f>
        <x:v>PriceCharting</x:v>
      </x:c>
      <x:c r="AQ718" s="9"/>
      <x:c r="AR718" s="9"/>
      <x:c r="AS718" s="9"/>
      <x:c r="AT718" s="9"/>
      <x:c r="AU718" s="9" t="str">
        <x:v>No market</x:v>
      </x:c>
      <x:c r="AV718" s="9" t="str">
        <x:v>Not listed on PriceCharting, whose Macintosh console has only about 110 items (searched 2026-10-25).</x:v>
      </x:c>
      <x:c r="AW718" s="9"/>
      <x:c r="AX718" s="9"/>
      <x:c r="AY718" s="9"/>
      <x:c r="AZ718" s="9" t="str">
        <x:v>4.0</x:v>
      </x:c>
      <x:c r="BA718" s="11" t="str">
        <x:f>HYPERLINK("https://www.mobygames.com/game/5060/the-residents-bad-day-on-the-midway/","MobyGames")</x:f>
        <x:v>MobyGames</x:v>
      </x:c>
      <x:c r="BB718" s="9"/>
      <x:c r="BC718" s="9"/>
      <x:c r="BD718" s="9"/>
      <x:c r="BE718" s="11" t="str">
        <x:f>HYPERLINK("https://en.wikipedia.org/wiki/Bad_Day_on_the_Midway","Wikipedia")</x:f>
        <x:v>Wikipedia</x:v>
      </x:c>
      <x:c r="BF718" s="11" t="str">
        <x:f>HYPERLINK("https://backloggd.com/search/games/Bad%20Day%20on%20the%20Midway/","Backloggd")</x:f>
        <x:v>Backloggd</x:v>
      </x:c>
      <x:c r="BG718" s="9"/>
      <x:c r="BH718" s="9"/>
      <x:c r="BI718" s="12" t="str">
        <x:v>No</x:v>
      </x:c>
      <x:c r="BJ718" s="12" t="str"/>
      <x:c r="BK718" s="12" t="str">
        <x:v>No</x:v>
      </x:c>
      <x:c r="BL718" s="12" t="str"/>
      <x:c r="BM718" s="12" t="str"/>
      <x:c r="BN718" s="12" t="str"/>
      <x:c r="BO718" s="12" t="str"/>
      <x:c r="BP718" s="12" t="str"/>
      <x:c r="BQ718" s="12" t="str"/>
    </x:row>
    <x:row r="719">
      <x:c r="A719" s="9" t="str">
        <x:v>mac-13</x:v>
      </x:c>
      <x:c r="B719" s="9" t="str">
        <x:v>sinkha</x:v>
      </x:c>
      <x:c r="C719" s="9" t="str">
        <x:v>Macintosh</x:v>
      </x:c>
      <x:c r="D719" s="9" t="str">
        <x:v>Sinkha</x:v>
      </x:c>
      <x:c r="E719" s="9" t="str"/>
      <x:c r="F719" s="9" t="str">
        <x:v>Virtual Views (Marco Patrito)</x:v>
      </x:c>
      <x:c r="G719" s="9" t="str">
        <x:v>Mojave (NA)</x:v>
      </x:c>
      <x:c r="H719" s="9" t="n">
        <x:v>1995</x:v>
      </x:c>
      <x:c r="I719" s="9" t="str">
        <x:v>Yes</x:v>
      </x:c>
      <x:c r="J719" s="9" t="str">
        <x:v>No</x:v>
      </x:c>
      <x:c r="K719" s="9" t="str">
        <x:v>No</x:v>
      </x:c>
      <x:c r="L719" s="9" t="str">
        <x:v>No</x:v>
      </x:c>
      <x:c r="M719" s="9" t="str">
        <x:v>Multimedia graphic novel</x:v>
      </x:c>
      <x:c r="N719" s="9" t="str">
        <x:v>Pre-rendered CG</x:v>
      </x:c>
      <x:c r="O719" s="9" t="n">
        <x:v>3</x:v>
      </x:c>
      <x:c r="P719" s="9" t="str">
        <x:v>Pre-rendered CG</x:v>
      </x:c>
      <x:c r="Q719" s="9" t="str">
        <x:v>Released</x:v>
      </x:c>
      <x:c r="R719" s="9" t="str">
        <x:v>Original production</x:v>
      </x:c>
      <x:c r="S719" s="9" t="str">
        <x:v>Windows (verify)</x:v>
      </x:c>
      <x:c r="T719" s="9" t="str">
        <x:v>—</x:v>
      </x:c>
      <x:c r="U719" s="9" t="n">
        <x:v>1</x:v>
      </x:c>
      <x:c r="V719" s="9" t="str">
        <x:v>Yes</x:v>
      </x:c>
      <x:c r="W719" s="9" t="str">
        <x:v>Mouse</x:v>
      </x:c>
      <x:c r="X719" s="9" t="str">
        <x:v>Low</x:v>
      </x:c>
      <x:c r="Y719" s="9" t="str"/>
      <x:c r="Z719" s="9" t="str">
        <x:v>1–2 hr</x:v>
      </x:c>
      <x:c r="AA719" s="9" t="str">
        <x:v>A Heavy Metal-style CG graphic novel by Italian artist Marco Patrito that you mostly read and watch.</x:v>
      </x:c>
      <x:c r="AB719" s="9" t="str">
        <x:v>None known</x:v>
      </x:c>
      <x:c r="AC719" s="9" t="str">
        <x:v>QuickTime CG movie clips and QuickTime VR scenes between illustrated pages</x:v>
      </x:c>
      <x:c r="AD719" s="9" t="str">
        <x:v>None; very little interaction</x:v>
      </x:c>
      <x:c r="AE719" s="9" t="str">
        <x:v>Single linear story (fragment of a larger saga)</x:v>
      </x:c>
      <x:c r="AF719" s="9" t="str">
        <x:v>Patrito spent more than four years on the art; TidBITS reviewed it as Mac-only at about $30.</x:v>
      </x:c>
      <x:c r="AG719" s="9" t="str">
        <x:v>Italian original by Virtual Views; US Mac edition by Mojave</x:v>
      </x:c>
      <x:c r="AH719" s="9" t="str">
        <x:v>No</x:v>
      </x:c>
      <x:c r="AI719" s="9" t="str">
        <x:v>Easy</x:v>
      </x:c>
      <x:c r="AJ719" s="9" t="str">
        <x:v>No re-release; runs in SheepShaver.</x:v>
      </x:c>
      <x:c r="AK719" s="9" t="str">
        <x:v>Borderline game: closer to an interactive book. Year 1994 vs 1995: verify. Windows version: verify.</x:v>
      </x:c>
      <x:c r="AL719" s="10"/>
      <x:c r="AM719" s="10"/>
      <x:c r="AN719" s="10"/>
      <x:c r="AO719" s="9"/>
      <x:c r="AP719" s="11" t="str">
        <x:f>HYPERLINK("https://www.pricecharting.com/search-products?q=Sinkha+macintosh&amp;type=prices","PriceCharting")</x:f>
        <x:v>PriceCharting</x:v>
      </x:c>
      <x:c r="AQ719" s="9"/>
      <x:c r="AR719" s="9"/>
      <x:c r="AS719" s="9"/>
      <x:c r="AT719" s="9"/>
      <x:c r="AU719" s="9" t="str">
        <x:v>No market</x:v>
      </x:c>
      <x:c r="AV719" s="9" t="str">
        <x:v>Not listed on PriceCharting, whose Macintosh console has only about 110 items (searched 2026-10-25).</x:v>
      </x:c>
      <x:c r="AW719" s="9"/>
      <x:c r="AX719" s="9"/>
      <x:c r="AY719" s="9"/>
      <x:c r="AZ719" s="9"/>
      <x:c r="BA719" s="11" t="str">
        <x:f>HYPERLINK("https://www.mobygames.com/search/?q=Sinkha","MobyGames")</x:f>
        <x:v>MobyGames</x:v>
      </x:c>
      <x:c r="BB719" s="9"/>
      <x:c r="BC719" s="9"/>
      <x:c r="BD719" s="9"/>
      <x:c r="BE719" s="9"/>
      <x:c r="BF719" s="11" t="str">
        <x:f>HYPERLINK("https://backloggd.com/search/games/Sinkha/","Backloggd")</x:f>
        <x:v>Backloggd</x:v>
      </x:c>
      <x:c r="BG719" s="9"/>
      <x:c r="BH719" s="9"/>
      <x:c r="BI719" s="12" t="str">
        <x:v>No</x:v>
      </x:c>
      <x:c r="BJ719" s="12" t="str"/>
      <x:c r="BK719" s="12" t="str">
        <x:v>No</x:v>
      </x:c>
      <x:c r="BL719" s="12" t="str"/>
      <x:c r="BM719" s="12" t="str"/>
      <x:c r="BN719" s="12" t="str"/>
      <x:c r="BO719" s="12" t="str"/>
      <x:c r="BP719" s="12" t="str"/>
      <x:c r="BQ719" s="12" t="str"/>
    </x:row>
    <x:row r="720">
      <x:c r="A720" s="9" t="str">
        <x:v>mac-14</x:v>
      </x:c>
      <x:c r="B720" s="9" t="str">
        <x:v>the-cosmology-of-kyoto</x:v>
      </x:c>
      <x:c r="C720" s="9" t="str">
        <x:v>Macintosh</x:v>
      </x:c>
      <x:c r="D720" s="9" t="str">
        <x:v>The Cosmology of Kyoto</x:v>
      </x:c>
      <x:c r="E720" s="9" t="str">
        <x:v>Kyoto Sennen Monogatari (京都千年物語)</x:v>
      </x:c>
      <x:c r="F720" s="9" t="str">
        <x:v>Softedge</x:v>
      </x:c>
      <x:c r="G720" s="9" t="str">
        <x:v>Yano Electric (JP, NA)</x:v>
      </x:c>
      <x:c r="H720" s="9" t="n">
        <x:v>1993</x:v>
      </x:c>
      <x:c r="I720" s="9" t="str">
        <x:v>Yes</x:v>
      </x:c>
      <x:c r="J720" s="9" t="str">
        <x:v>Yes</x:v>
      </x:c>
      <x:c r="K720" s="9" t="str">
        <x:v>No</x:v>
      </x:c>
      <x:c r="L720" s="9" t="str">
        <x:v>No</x:v>
      </x:c>
      <x:c r="M720" s="9" t="str">
        <x:v>Exploration adventure</x:v>
      </x:c>
      <x:c r="N720" s="9" t="str">
        <x:v>Animated</x:v>
      </x:c>
      <x:c r="O720" s="9" t="n">
        <x:v>2</x:v>
      </x:c>
      <x:c r="P720" s="9" t="str">
        <x:v>Cutscenes only</x:v>
      </x:c>
      <x:c r="Q720" s="9" t="str">
        <x:v>Released</x:v>
      </x:c>
      <x:c r="R720" s="9" t="str">
        <x:v>Original production</x:v>
      </x:c>
      <x:c r="S720" s="9" t="str">
        <x:v>Windows (1995)</x:v>
      </x:c>
      <x:c r="T720" s="9" t="str">
        <x:v>—</x:v>
      </x:c>
      <x:c r="U720" s="9" t="n">
        <x:v>1</x:v>
      </x:c>
      <x:c r="V720" s="9" t="str">
        <x:v>Yes</x:v>
      </x:c>
      <x:c r="W720" s="9" t="str">
        <x:v>Mouse</x:v>
      </x:c>
      <x:c r="X720" s="9" t="str">
        <x:v>Low</x:v>
      </x:c>
      <x:c r="Y720" s="9" t="str"/>
      <x:c r="Z720" s="9" t="str">
        <x:v>3–6 hr (open-ended)</x:v>
      </x:c>
      <x:c r="AA720" s="9" t="str">
        <x:v>Roger Ebert's favourite game: wander Heian-era Kyoto among ghosts and demons, and get reborn as a dog if your karma sinks.</x:v>
      </x:c>
      <x:c r="AB720" s="9" t="str">
        <x:v>None known</x:v>
      </x:c>
      <x:c r="AC720" s="9" t="str">
        <x:v>Painted stills with short QuickTime animations; widescreen watercolour art</x:v>
      </x:c>
      <x:c r="AD720" s="9" t="str">
        <x:v>Easy but aimless; no clear goal</x:v>
      </x:c>
      <x:c r="AE720" s="9" t="str">
        <x:v>Open-ended; death and reincarnation through Buddhist hells</x:v>
      </x:c>
      <x:c r="AF720" s="9" t="str">
        <x:v>Roger Ebert called it 'the most beguiling computer game I have encountered'; Guillermo del Toro lists it as a favourite.</x:v>
      </x:c>
      <x:c r="AG720" s="9" t="str">
        <x:v>Japanese Mac 1993; North American English-subtitled Mac 1994; PC 1995</x:v>
      </x:c>
      <x:c r="AH720" s="9" t="str">
        <x:v>No</x:v>
      </x:c>
      <x:c r="AI720" s="9" t="str">
        <x:v>Expensive</x:v>
      </x:c>
      <x:c r="AJ720" s="9" t="str">
        <x:v>No re-release; scarce NA disc (verify price), runs in SheepShaver.</x:v>
      </x:c>
      <x:c r="AK720" s="9" t="str">
        <x:v>Low fmv; included as a notable title. NA Mac release 1994.</x:v>
      </x:c>
      <x:c r="AL720" s="10"/>
      <x:c r="AM720" s="10"/>
      <x:c r="AN720" s="10"/>
      <x:c r="AO720" s="9"/>
      <x:c r="AP720" s="11" t="str">
        <x:f>HYPERLINK("https://www.pricecharting.com/search-products?q=The+Cosmology+of+Kyoto+macintosh&amp;type=prices","PriceCharting")</x:f>
        <x:v>PriceCharting</x:v>
      </x:c>
      <x:c r="AQ720" s="9"/>
      <x:c r="AR720" s="9"/>
      <x:c r="AS720" s="9"/>
      <x:c r="AT720" s="9"/>
      <x:c r="AU720" s="9" t="str">
        <x:v>No market</x:v>
      </x:c>
      <x:c r="AV720" s="9" t="str">
        <x:v>Not listed on PriceCharting, whose Macintosh console has only about 110 items (searched 2026-10-25).</x:v>
      </x:c>
      <x:c r="AW720" s="9"/>
      <x:c r="AX720" s="9"/>
      <x:c r="AY720" s="9"/>
      <x:c r="AZ720" s="9" t="str">
        <x:v>3.0</x:v>
      </x:c>
      <x:c r="BA720" s="11" t="str">
        <x:f>HYPERLINK("https://www.mobygames.com/game/4365/cosmology-of-kyoto","MobyGames")</x:f>
        <x:v>MobyGames</x:v>
      </x:c>
      <x:c r="BB720" s="9"/>
      <x:c r="BC720" s="9"/>
      <x:c r="BD720" s="9"/>
      <x:c r="BE720" s="11" t="str">
        <x:f>HYPERLINK("https://en.wikipedia.org/wiki/Cosmology_of_Kyoto","Wikipedia")</x:f>
        <x:v>Wikipedia</x:v>
      </x:c>
      <x:c r="BF720" s="11" t="str">
        <x:f>HYPERLINK("https://backloggd.com/search/games/The%20Cosmology%20of%20Kyoto/","Backloggd")</x:f>
        <x:v>Backloggd</x:v>
      </x:c>
      <x:c r="BG720" s="9"/>
      <x:c r="BH720" s="9"/>
      <x:c r="BI720" s="12" t="str">
        <x:v>No</x:v>
      </x:c>
      <x:c r="BJ720" s="12" t="str"/>
      <x:c r="BK720" s="12" t="str">
        <x:v>No</x:v>
      </x:c>
      <x:c r="BL720" s="12" t="str"/>
      <x:c r="BM720" s="12" t="str"/>
      <x:c r="BN720" s="12" t="str"/>
      <x:c r="BO720" s="12" t="str"/>
      <x:c r="BP720" s="12" t="str"/>
      <x:c r="BQ720" s="12" t="str"/>
    </x:row>
    <x:row r="721">
      <x:c r="A721" s="9" t="str">
        <x:v>mac-15</x:v>
      </x:c>
      <x:c r="B721" s="9" t="str">
        <x:v>critical-path</x:v>
      </x:c>
      <x:c r="C721" s="9" t="str">
        <x:v>Macintosh</x:v>
      </x:c>
      <x:c r="D721" s="9" t="str">
        <x:v>Critical Path</x:v>
      </x:c>
      <x:c r="E721" s="9" t="str"/>
      <x:c r="F721" s="9" t="str">
        <x:v>Mechadeus</x:v>
      </x:c>
      <x:c r="G721" s="9" t="str">
        <x:v>Media Vision (NA), Virgin Interactive (from 1994)</x:v>
      </x:c>
      <x:c r="H721" s="9" t="n">
        <x:v>1993</x:v>
      </x:c>
      <x:c r="I721" s="9" t="str">
        <x:v>Yes</x:v>
      </x:c>
      <x:c r="J721" s="9" t="str">
        <x:v>No</x:v>
      </x:c>
      <x:c r="K721" s="9" t="str">
        <x:v>Yes</x:v>
      </x:c>
      <x:c r="L721" s="9" t="str">
        <x:v>No</x:v>
      </x:c>
      <x:c r="M721" s="9" t="str">
        <x:v>Interactive movie</x:v>
      </x:c>
      <x:c r="N721" s="9" t="str">
        <x:v>Live-action + CG</x:v>
      </x:c>
      <x:c r="O721" s="9" t="n">
        <x:v>9</x:v>
      </x:c>
      <x:c r="P721" s="9" t="str">
        <x:v>Interactive movie</x:v>
      </x:c>
      <x:c r="Q721" s="9" t="str">
        <x:v>Released</x:v>
      </x:c>
      <x:c r="R721" s="9" t="str">
        <x:v>Original production</x:v>
      </x:c>
      <x:c r="S721" s="9" t="str">
        <x:v>Windows</x:v>
      </x:c>
      <x:c r="T721" s="9" t="str">
        <x:v>Eileen Weisinger (Kat), Stuart W. Yee, Al Qualls, Min Yee, Brian Bernasconi</x:v>
      </x:c>
      <x:c r="U721" s="9" t="n">
        <x:v>1</x:v>
      </x:c>
      <x:c r="V721" s="9" t="str">
        <x:v>Yes</x:v>
      </x:c>
      <x:c r="W721" s="9" t="str">
        <x:v>Mouse</x:v>
      </x:c>
      <x:c r="X721" s="9" t="str">
        <x:v>Low</x:v>
      </x:c>
      <x:c r="Y721" s="9" t="str"/>
      <x:c r="Z721" s="9" t="str">
        <x:v>30 min–1 hr</x:v>
      </x:c>
      <x:c r="AA721" s="9" t="str">
        <x:v>Guide a stranded chopper pilot through a booby-trapped island over a broken headset, in live-action video with real stunts.</x:v>
      </x:c>
      <x:c r="AB721" s="9" t="str">
        <x:v>None known</x:v>
      </x:c>
      <x:c r="AC721" s="9" t="str">
        <x:v>Live-action over CG sets in a small QuickTime window</x:v>
      </x:c>
      <x:c r="AD721" s="9" t="str">
        <x:v>Trial and error; wrong button at wrong time = death scene</x:v>
      </x:c>
      <x:c r="AE721" s="9" t="str">
        <x:v>One good ending; many death scenes</x:v>
      </x:c>
      <x:c r="AF721" s="9" t="str">
        <x:v>It cost about $450,000; two of the first characters killed are played by Mechadeus' lawyers, and Eileen Weisinger did her own stunts.</x:v>
      </x:c>
      <x:c r="AG721" s="9" t="str">
        <x:v>Hybrid Mac/PC disc (verify); bundled with Media Vision sound cards</x:v>
      </x:c>
      <x:c r="AH721" s="9" t="str">
        <x:v>No</x:v>
      </x:c>
      <x:c r="AI721" s="9" t="str">
        <x:v>Easy</x:v>
      </x:c>
      <x:c r="AJ721" s="9" t="str">
        <x:v>No re-release; runs in Basilisk II/SheepShaver.</x:v>
      </x:c>
      <x:c r="AK721" s="9" t="str">
        <x:v>Mac release year: verify (1993–94).</x:v>
      </x:c>
      <x:c r="AL721" s="10"/>
      <x:c r="AM721" s="10"/>
      <x:c r="AN721" s="10"/>
      <x:c r="AO721" s="9"/>
      <x:c r="AP721" s="11" t="str">
        <x:f>HYPERLINK("https://www.pricecharting.com/game/macintosh/critical-path","PriceCharting")</x:f>
        <x:v>PriceCharting</x:v>
      </x:c>
      <x:c r="AQ721" s="9"/>
      <x:c r="AR721" s="9"/>
      <x:c r="AS721" s="9"/>
      <x:c r="AT721" s="9"/>
      <x:c r="AU721" s="9" t="str">
        <x:v>No market</x:v>
      </x:c>
      <x:c r="AV721" s="9" t="str">
        <x:v>Not listed on PriceCharting, whose Macintosh console has only about 110 items (searched 2026-10-25).</x:v>
      </x:c>
      <x:c r="AW721" s="9"/>
      <x:c r="AX721" s="9"/>
      <x:c r="AY721" s="9"/>
      <x:c r="AZ721" s="9" t="str">
        <x:v>5.0</x:v>
      </x:c>
      <x:c r="BA721" s="11" t="str">
        <x:f>HYPERLINK("https://www.mobygames.com/game/3362/critical-path/","MobyGames")</x:f>
        <x:v>MobyGames</x:v>
      </x:c>
      <x:c r="BB721" s="9"/>
      <x:c r="BC721" s="9"/>
      <x:c r="BD721" s="9"/>
      <x:c r="BE721" s="11" t="str">
        <x:f>HYPERLINK("https://en.wikipedia.org/wiki/Critical_Path_(video_game)","Wikipedia")</x:f>
        <x:v>Wikipedia</x:v>
      </x:c>
      <x:c r="BF721" s="11" t="str">
        <x:f>HYPERLINK("https://backloggd.com/search/games/Critical%20Path/","Backloggd")</x:f>
        <x:v>Backloggd</x:v>
      </x:c>
      <x:c r="BG721" s="9"/>
      <x:c r="BH721" s="9"/>
      <x:c r="BI721" s="12" t="str">
        <x:v>No</x:v>
      </x:c>
      <x:c r="BJ721" s="12" t="str"/>
      <x:c r="BK721" s="12" t="str">
        <x:v>No</x:v>
      </x:c>
      <x:c r="BL721" s="12" t="str"/>
      <x:c r="BM721" s="12" t="str"/>
      <x:c r="BN721" s="12" t="str"/>
      <x:c r="BO721" s="12" t="str"/>
      <x:c r="BP721" s="12" t="str"/>
      <x:c r="BQ721" s="12" t="str"/>
    </x:row>
    <x:row r="722">
      <x:c r="A722" s="9" t="str">
        <x:v>mac-16</x:v>
      </x:c>
      <x:c r="B722" s="9" t="str">
        <x:v>lunicus</x:v>
      </x:c>
      <x:c r="C722" s="9" t="str">
        <x:v>Macintosh</x:v>
      </x:c>
      <x:c r="D722" s="9" t="str">
        <x:v>Lunicus</x:v>
      </x:c>
      <x:c r="E722" s="9" t="str"/>
      <x:c r="F722" s="9" t="str">
        <x:v>Cyberflix</x:v>
      </x:c>
      <x:c r="G722" s="9" t="str">
        <x:v>Paramount Interactive (NA)</x:v>
      </x:c>
      <x:c r="H722" s="9" t="n">
        <x:v>1993</x:v>
      </x:c>
      <x:c r="I722" s="9" t="str">
        <x:v>Yes</x:v>
      </x:c>
      <x:c r="J722" s="9" t="str">
        <x:v>No</x:v>
      </x:c>
      <x:c r="K722" s="9" t="str">
        <x:v>No</x:v>
      </x:c>
      <x:c r="L722" s="9" t="str">
        <x:v>No</x:v>
      </x:c>
      <x:c r="M722" s="9" t="str">
        <x:v>Action adventure</x:v>
      </x:c>
      <x:c r="N722" s="9" t="str">
        <x:v>Pre-rendered CG</x:v>
      </x:c>
      <x:c r="O722" s="9" t="n">
        <x:v>3</x:v>
      </x:c>
      <x:c r="P722" s="9" t="str">
        <x:v>Cutscenes only</x:v>
      </x:c>
      <x:c r="Q722" s="9" t="str">
        <x:v>Released</x:v>
      </x:c>
      <x:c r="R722" s="9" t="str">
        <x:v>Original production</x:v>
      </x:c>
      <x:c r="S722" s="9" t="str">
        <x:v>Windows (1994)</x:v>
      </x:c>
      <x:c r="T722" s="9" t="str">
        <x:v>—</x:v>
      </x:c>
      <x:c r="U722" s="9" t="n">
        <x:v>1</x:v>
      </x:c>
      <x:c r="V722" s="9" t="str">
        <x:v>Yes</x:v>
      </x:c>
      <x:c r="W722" s="9" t="str">
        <x:v>Mouse</x:v>
      </x:c>
      <x:c r="X722" s="9" t="str">
        <x:v>Low</x:v>
      </x:c>
      <x:c r="Y722" s="9" t="str"/>
      <x:c r="Z722" s="9" t="str">
        <x:v>4–6 hr</x:v>
      </x:c>
      <x:c r="AA722" s="9" t="str">
        <x:v>Cyberflix's debut: defend a Moon base from aliens, with 'Talking Cyber Puppets' in rendered cutscenes.</x:v>
      </x:c>
      <x:c r="AB722" s="9" t="str">
        <x:v>None known</x:v>
      </x:c>
      <x:c r="AC722" s="9" t="str">
        <x:v>Pre-rendered CG cutscenes framing missions; grid-based first-person combat</x:v>
      </x:c>
      <x:c r="AD722" s="9" t="str">
        <x:v>Selectable difficulty levels</x:v>
      </x:c>
      <x:c r="AE722" s="9" t="str">
        <x:v>Single ending after attacking the alien mothership</x:v>
      </x:c>
      <x:c r="AF722" s="9" t="str">
        <x:v>Macworld's 1993 Best CD-ROM Game; built in DreamFactory, written by SuperCard designer William Appleton.</x:v>
      </x:c>
      <x:c r="AG722" s="9" t="str">
        <x:v>Mac CD first (1993), Windows 1994</x:v>
      </x:c>
      <x:c r="AH722" s="9" t="str">
        <x:v>No</x:v>
      </x:c>
      <x:c r="AI722" s="9" t="str">
        <x:v>Easy</x:v>
      </x:c>
      <x:c r="AJ722" s="9" t="str">
        <x:v>No re-release; runs in Basilisk II/SheepShaver.</x:v>
      </x:c>
      <x:c r="AK722" s="9" t="str">
        <x:v>Notable cutscene title; fmv low.</x:v>
      </x:c>
      <x:c r="AL722" s="10"/>
      <x:c r="AM722" s="10"/>
      <x:c r="AN722" s="10"/>
      <x:c r="AO722" s="9"/>
      <x:c r="AP722" s="11" t="str">
        <x:f>HYPERLINK("https://www.pricecharting.com/search-products?q=Lunicus+macintosh&amp;type=prices","PriceCharting")</x:f>
        <x:v>PriceCharting</x:v>
      </x:c>
      <x:c r="AQ722" s="9"/>
      <x:c r="AR722" s="9"/>
      <x:c r="AS722" s="9"/>
      <x:c r="AT722" s="9"/>
      <x:c r="AU722" s="9" t="str">
        <x:v>No market</x:v>
      </x:c>
      <x:c r="AV722" s="9" t="str">
        <x:v>Not listed on PriceCharting, whose Macintosh console has only about 110 items (searched 2026-10-25).</x:v>
      </x:c>
      <x:c r="AW722" s="9"/>
      <x:c r="AX722" s="9"/>
      <x:c r="AY722" s="9"/>
      <x:c r="AZ722" s="9" t="str">
        <x:v>5.0</x:v>
      </x:c>
      <x:c r="BA722" s="11" t="str">
        <x:f>HYPERLINK("https://www.mobygames.com/game/3647/lunicus/","MobyGames")</x:f>
        <x:v>MobyGames</x:v>
      </x:c>
      <x:c r="BB722" s="9"/>
      <x:c r="BC722" s="9"/>
      <x:c r="BD722" s="9"/>
      <x:c r="BE722" s="11" t="str">
        <x:f>HYPERLINK("https://en.wikipedia.org/wiki/Lunicus","Wikipedia")</x:f>
        <x:v>Wikipedia</x:v>
      </x:c>
      <x:c r="BF722" s="11" t="str">
        <x:f>HYPERLINK("https://backloggd.com/search/games/Lunicus/","Backloggd")</x:f>
        <x:v>Backloggd</x:v>
      </x:c>
      <x:c r="BG722" s="9"/>
      <x:c r="BH722" s="9"/>
      <x:c r="BI722" s="12" t="str">
        <x:v>No</x:v>
      </x:c>
      <x:c r="BJ722" s="12" t="str"/>
      <x:c r="BK722" s="12" t="str">
        <x:v>No</x:v>
      </x:c>
      <x:c r="BL722" s="12" t="str"/>
      <x:c r="BM722" s="12" t="str"/>
      <x:c r="BN722" s="12" t="str"/>
      <x:c r="BO722" s="12" t="str"/>
      <x:c r="BP722" s="12" t="str"/>
      <x:c r="BQ722" s="12" t="str"/>
    </x:row>
    <x:row r="723">
      <x:c r="A723" s="9" t="str">
        <x:v>mac-17</x:v>
      </x:c>
      <x:c r="B723" s="9" t="str">
        <x:v>myst</x:v>
      </x:c>
      <x:c r="C723" s="9" t="str">
        <x:v>Macintosh</x:v>
      </x:c>
      <x:c r="D723" s="9" t="str">
        <x:v>Myst</x:v>
      </x:c>
      <x:c r="E723" s="9" t="str"/>
      <x:c r="F723" s="9" t="str">
        <x:v>Cyan</x:v>
      </x:c>
      <x:c r="G723" s="9" t="str">
        <x:v>Brøderbund (NA); Sunsoft (JP, verify)</x:v>
      </x:c>
      <x:c r="H723" s="9" t="n">
        <x:v>1993</x:v>
      </x:c>
      <x:c r="I723" s="9" t="str">
        <x:v>Yes</x:v>
      </x:c>
      <x:c r="J723" s="9" t="str">
        <x:v>Yes</x:v>
      </x:c>
      <x:c r="K723" s="9" t="str">
        <x:v>Yes</x:v>
      </x:c>
      <x:c r="L723" s="9" t="str">
        <x:v>No</x:v>
      </x:c>
      <x:c r="M723" s="9" t="str">
        <x:v>First-person puzzle adventure</x:v>
      </x:c>
      <x:c r="N723" s="9" t="str">
        <x:v>Pre-rendered CG</x:v>
      </x:c>
      <x:c r="O723" s="9" t="n">
        <x:v>4</x:v>
      </x:c>
      <x:c r="P723" s="9" t="str">
        <x:v>Pre-rendered CG</x:v>
      </x:c>
      <x:c r="Q723" s="9" t="str">
        <x:v>Released</x:v>
      </x:c>
      <x:c r="R723" s="9" t="str">
        <x:v>Original production (Mac original)</x:v>
      </x:c>
      <x:c r="S723" s="9" t="str">
        <x:v>Windows, 3DO, CD-i, PlayStation, Saturn, Jaguar CD, PSP, DS, iOS, many more</x:v>
      </x:c>
      <x:c r="T723" s="9" t="str">
        <x:v>Rand Miller (Atrus, Sirrus), Robyn Miller (Achenar)</x:v>
      </x:c>
      <x:c r="U723" s="9" t="n">
        <x:v>1</x:v>
      </x:c>
      <x:c r="V723" s="9" t="str">
        <x:v>Yes</x:v>
      </x:c>
      <x:c r="W723" s="9" t="str">
        <x:v>Mouse; HyperCard-based engine, QuickTime video</x:v>
      </x:c>
      <x:c r="X723" s="9" t="str">
        <x:v>Low</x:v>
      </x:c>
      <x:c r="Y723" s="9" t="str"/>
      <x:c r="Z723" s="9" t="str">
        <x:v>3–6 hr</x:v>
      </x:c>
      <x:c r="AA723" s="9" t="str">
        <x:v>The Mac is Myst's home platform: the HyperCard original that sold millions and defined the CD-ROM era.</x:v>
      </x:c>
      <x:c r="AB723" s="9" t="str">
        <x:v>None known</x:v>
      </x:c>
      <x:c r="AC723" s="9" t="str">
        <x:v>Small QuickTime video windows (brothers in books, Atrus) composited into slide-show CG stills; ~12–15 fps (verify)</x:v>
      </x:c>
      <x:c r="AD723" s="9" t="str">
        <x:v>Moderate; obtuse puzzles but no deaths</x:v>
      </x:c>
      <x:c r="AE723" s="9" t="str">
        <x:v>Four endings (red book, blue book, white page to Atrus, or trapped)</x:v>
      </x:c>
      <x:c r="AF723" s="9" t="str">
        <x:v>Made by brothers Rand and Robyn Miller on Macs with HyperCard; the Mac version shipped first in September 1993.</x:v>
      </x:c>
      <x:c r="AG723" s="9" t="str">
        <x:v>Original 1993 Mac CD; Myst Masterpiece Edition (1999, Mac/PC hybrid, 24-bit); realMyst (3D, 2000/2002 Mac); many budget reprints</x:v>
      </x:c>
      <x:c r="AH723" s="9" t="str">
        <x:v>Yes (Myst Masterpiece Edition and realMyst on Steam/GOG; Myst 2021 remake on Steam/macOS)</x:v>
      </x:c>
      <x:c r="AI723" s="9" t="str">
        <x:v>Easy</x:v>
      </x:c>
      <x:c r="AJ723" s="9" t="str">
        <x:v>Original disc runs in Basilisk II/SheepShaver or on a 68k/PPC Mac; ScummVM (Mohawk engine) supports the Mac release; Masterpiece/realMyst/2021 remake sold on Steam and GOG.</x:v>
      </x:c>
      <x:c r="AK723" s="9" t="str">
        <x:v>Mac original. Japanese Mac release by Sunsoft — verify.</x:v>
      </x:c>
      <x:c r="AL723" s="10" t="n">
        <x:v>4.99</x:v>
      </x:c>
      <x:c r="AM723" s="10" t="n">
        <x:v>14.23</x:v>
      </x:c>
      <x:c r="AN723" s="10" t="n">
        <x:v>19.5</x:v>
      </x:c>
      <x:c r="AO723" s="9" t="str">
        <x:v>2026-10-24</x:v>
      </x:c>
      <x:c r="AP723" s="11" t="str">
        <x:f>HYPERLINK("https://www.pricecharting.com/game/macintosh/myst","PriceCharting")</x:f>
        <x:v>PriceCharting</x:v>
      </x:c>
      <x:c r="AQ723" s="9"/>
      <x:c r="AR723" s="9"/>
      <x:c r="AS723" s="9"/>
      <x:c r="AT723" s="9"/>
      <x:c r="AU723" s="9"/>
      <x:c r="AV723" s="9"/>
      <x:c r="AW723" s="9"/>
      <x:c r="AX723" s="9"/>
      <x:c r="AY723" s="9"/>
      <x:c r="AZ723" s="9"/>
      <x:c r="BA723" s="11" t="str">
        <x:f>HYPERLINK("https://www.mobygames.com/game/1131/myst/","MobyGames")</x:f>
        <x:v>MobyGames</x:v>
      </x:c>
      <x:c r="BB723" s="9" t="str">
        <x:v>60%</x:v>
      </x:c>
      <x:c r="BC723" s="9" t="str">
        <x:v>Edge on Japanese Wikipedia, 1 review</x:v>
      </x:c>
      <x:c r="BD723" s="9" t="str">
        <x:f>HYPERLINK("https://ja.wikipedia.org/wiki/MYST","Source")</x:f>
        <x:v>Source</x:v>
      </x:c>
      <x:c r="BE723" s="11" t="str">
        <x:f>HYPERLINK("https://en.wikipedia.org/wiki/Myst","Wikipedia")</x:f>
        <x:v>Wikipedia</x:v>
      </x:c>
      <x:c r="BF723" s="11" t="str">
        <x:f>HYPERLINK("https://backloggd.com/search/games/Myst/","Backloggd")</x:f>
        <x:v>Backloggd</x:v>
      </x:c>
      <x:c r="BG723" s="9"/>
      <x:c r="BH723" s="9"/>
      <x:c r="BI723" s="12" t="str">
        <x:v>No</x:v>
      </x:c>
      <x:c r="BJ723" s="12" t="str"/>
      <x:c r="BK723" s="12" t="str">
        <x:v>No</x:v>
      </x:c>
      <x:c r="BL723" s="12" t="str"/>
      <x:c r="BM723" s="12" t="str"/>
      <x:c r="BN723" s="12" t="str"/>
      <x:c r="BO723" s="12" t="str"/>
      <x:c r="BP723" s="12" t="str"/>
      <x:c r="BQ723" s="12" t="str"/>
    </x:row>
    <x:row r="724">
      <x:c r="A724" s="9" t="str">
        <x:v>mac-18</x:v>
      </x:c>
      <x:c r="B724" s="9" t="str">
        <x:v>riven-the-sequel-to-myst</x:v>
      </x:c>
      <x:c r="C724" s="9" t="str">
        <x:v>Macintosh</x:v>
      </x:c>
      <x:c r="D724" s="9" t="str">
        <x:v>Riven: The Sequel to Myst</x:v>
      </x:c>
      <x:c r="E724" s="9" t="str">
        <x:v>Riven</x:v>
      </x:c>
      <x:c r="F724" s="9" t="str">
        <x:v>Cyan</x:v>
      </x:c>
      <x:c r="G724" s="9" t="str">
        <x:v>Red Orb Entertainment / Brøderbund (NA)</x:v>
      </x:c>
      <x:c r="H724" s="9" t="n">
        <x:v>1997</x:v>
      </x:c>
      <x:c r="I724" s="9" t="str">
        <x:v>Yes</x:v>
      </x:c>
      <x:c r="J724" s="9" t="str">
        <x:v>Yes</x:v>
      </x:c>
      <x:c r="K724" s="9" t="str">
        <x:v>Yes</x:v>
      </x:c>
      <x:c r="L724" s="9" t="str">
        <x:v>No</x:v>
      </x:c>
      <x:c r="M724" s="9" t="str">
        <x:v>First-person puzzle adventure</x:v>
      </x:c>
      <x:c r="N724" s="9" t="str">
        <x:v>Live-action + pre-rendered CG</x:v>
      </x:c>
      <x:c r="O724" s="9" t="n">
        <x:v>4</x:v>
      </x:c>
      <x:c r="P724" s="9" t="str">
        <x:v>Pre-rendered CG</x:v>
      </x:c>
      <x:c r="Q724" s="9" t="str">
        <x:v>Released</x:v>
      </x:c>
      <x:c r="R724" s="9" t="str">
        <x:v>Original production (sequel to Myst)</x:v>
      </x:c>
      <x:c r="S724" s="9" t="str">
        <x:v>Windows, PlayStation, Saturn, Pocket PC, iOS, Android; 2024 remake (Windows/macOS/Quest)</x:v>
      </x:c>
      <x:c r="T724" s="9" t="str">
        <x:v>John Keston (Gehn), Rand Miller (Atrus); Sheila Goold (Catherine, verify)</x:v>
      </x:c>
      <x:c r="U724" s="9" t="n">
        <x:v>5</x:v>
      </x:c>
      <x:c r="V724" s="9" t="str">
        <x:v>Yes</x:v>
      </x:c>
      <x:c r="W724" s="9" t="str">
        <x:v>Mouse</x:v>
      </x:c>
      <x:c r="X724" s="9" t="str">
        <x:v>Low</x:v>
      </x:c>
      <x:c r="Y724" s="9" t="str"/>
      <x:c r="Z724" s="9" t="str">
        <x:v>8–15 hr</x:v>
      </x:c>
      <x:c r="AA724" s="9" t="str">
        <x:v>Over three hours of blue-screen video keyed into some of the most detailed CG of the 1990s.</x:v>
      </x:c>
      <x:c r="AB724" s="9" t="str">
        <x:v>None known</x:v>
      </x:c>
      <x:c r="AC724" s="9" t="str">
        <x:v>QuickTime video in windows and overlaid on CG stills; actors shot against blue screen; ~15 fps (verify)</x:v>
      </x:c>
      <x:c r="AD724" s="9" t="str">
        <x:v>Hard; interlocking island-wide puzzles and a 5-symbol number system</x:v>
      </x:c>
      <x:c r="AE724" s="9" t="str">
        <x:v>Multiple: best (trap Gehn, free Catherine), several bad/death endings</x:v>
      </x:c>
      <x:c r="AF724" s="9" t="str">
        <x:v>Budget reportedly $5–10 million, over ten times Myst's; textures were photographed on a trip to Santa Fe.</x:v>
      </x:c>
      <x:c r="AG724" s="9" t="str">
        <x:v>5-CD Mac/Windows release (1997); DVD edition 1998 (Mac DVD — verify); Myst/Riven bundles</x:v>
      </x:c>
      <x:c r="AH724" s="9" t="str">
        <x:v>Yes (Steam/GOG Riven; 2024 Unreal remake on Steam/macOS)</x:v>
      </x:c>
      <x:c r="AI724" s="9" t="str">
        <x:v>Easy</x:v>
      </x:c>
      <x:c r="AJ724" s="9" t="str">
        <x:v>5-CD Mac set runs in SheepShaver or on a PowerPC Mac; ScummVM (Mohawk engine) supports Riven; the original and the 2024 remake are on Steam and GOG.</x:v>
      </x:c>
      <x:c r="AK724" s="9" t="str">
        <x:v>Japanese Mac release — verify.</x:v>
      </x:c>
      <x:c r="AL724" s="10"/>
      <x:c r="AM724" s="10"/>
      <x:c r="AN724" s="10"/>
      <x:c r="AO724" s="9"/>
      <x:c r="AP724" s="11" t="str">
        <x:f>HYPERLINK("https://www.pricecharting.com/search-products?q=Riven%3A+The+Sequel+to+Myst+macintosh&amp;type=prices","PriceCharting")</x:f>
        <x:v>PriceCharting</x:v>
      </x:c>
      <x:c r="AQ724" s="9"/>
      <x:c r="AR724" s="9"/>
      <x:c r="AS724" s="9"/>
      <x:c r="AT724" s="9"/>
      <x:c r="AU724" s="9" t="str">
        <x:v>No market</x:v>
      </x:c>
      <x:c r="AV724" s="9" t="str">
        <x:v>Not listed on PriceCharting, whose Macintosh console has only about 110 items (searched 2026-10-25). The PC version is on Steam ($1.79).</x:v>
      </x:c>
      <x:c r="AW724" s="9"/>
      <x:c r="AX724" s="9"/>
      <x:c r="AY724" s="9"/>
      <x:c r="AZ724" s="9"/>
      <x:c r="BA724" s="11" t="str">
        <x:f>HYPERLINK("https://www.mobygames.com/search/?q=Riven%3A+The+Sequel+to+Myst","MobyGames")</x:f>
        <x:v>MobyGames</x:v>
      </x:c>
      <x:c r="BB724" s="9" t="str">
        <x:v>95%</x:v>
      </x:c>
      <x:c r="BC724" s="9" t="str">
        <x:v>GameRankings, 1 review</x:v>
      </x:c>
      <x:c r="BD724" s="9" t="str">
        <x:f>HYPERLINK("https://web.archive.org/web/20191209011710id_/https://www.gamerankings.com/mac/564365-riven-the-sequel-to-myst/","Source")</x:f>
        <x:v>Source</x:v>
      </x:c>
      <x:c r="BE724" s="11" t="str">
        <x:f>HYPERLINK("https://en.wikipedia.org/wiki/Riven","Wikipedia")</x:f>
        <x:v>Wikipedia</x:v>
      </x:c>
      <x:c r="BF724" s="11" t="str">
        <x:f>HYPERLINK("https://backloggd.com/search/games/Riven%3A%20The%20Sequel%20to%20Myst/","Backloggd")</x:f>
        <x:v>Backloggd</x:v>
      </x:c>
      <x:c r="BG724" s="9"/>
      <x:c r="BH724" s="9"/>
      <x:c r="BI724" s="12" t="str">
        <x:v>No</x:v>
      </x:c>
      <x:c r="BJ724" s="12" t="str"/>
      <x:c r="BK724" s="12" t="str">
        <x:v>No</x:v>
      </x:c>
      <x:c r="BL724" s="12" t="str"/>
      <x:c r="BM724" s="12" t="str"/>
      <x:c r="BN724" s="12" t="str"/>
      <x:c r="BO724" s="12" t="str"/>
      <x:c r="BP724" s="12" t="str"/>
      <x:c r="BQ724" s="12" t="str"/>
    </x:row>
    <x:row r="725">
      <x:c r="A725" s="9" t="str">
        <x:v>mac-19</x:v>
      </x:c>
      <x:c r="B725" s="9" t="str">
        <x:v>the-7th-guest</x:v>
      </x:c>
      <x:c r="C725" s="9" t="str">
        <x:v>Macintosh</x:v>
      </x:c>
      <x:c r="D725" s="9" t="str">
        <x:v>The 7th Guest</x:v>
      </x:c>
      <x:c r="E725" s="9" t="str"/>
      <x:c r="F725" s="9" t="str">
        <x:v>Trilobyte</x:v>
      </x:c>
      <x:c r="G725" s="9" t="str">
        <x:v>Virgin Interactive Entertainment</x:v>
      </x:c>
      <x:c r="H725" s="9" t="n">
        <x:v>1994</x:v>
      </x:c>
      <x:c r="I725" s="9" t="str">
        <x:v>Yes</x:v>
      </x:c>
      <x:c r="J725" s="9" t="str">
        <x:v>No</x:v>
      </x:c>
      <x:c r="K725" s="9" t="str">
        <x:v>Yes</x:v>
      </x:c>
      <x:c r="L725" s="9" t="str">
        <x:v>No</x:v>
      </x:c>
      <x:c r="M725" s="9" t="str">
        <x:v>Puzzle adventure / horror</x:v>
      </x:c>
      <x:c r="N725" s="9" t="str">
        <x:v>Live-action + pre-rendered CG</x:v>
      </x:c>
      <x:c r="O725" s="9" t="n">
        <x:v>6</x:v>
      </x:c>
      <x:c r="P725" s="9" t="str">
        <x:v>Interactive movie</x:v>
      </x:c>
      <x:c r="Q725" s="9" t="str">
        <x:v>Released</x:v>
      </x:c>
      <x:c r="R725" s="9" t="str">
        <x:v>PC original (1993)</x:v>
      </x:c>
      <x:c r="S725" s="9" t="str">
        <x:v>MS-DOS, CD-i, Windows, iOS, Android, Switch, PS4/PS5, macOS/Linux (25th Anniversary)</x:v>
      </x:c>
      <x:c r="T725" s="9" t="str">
        <x:v>Robert Hirschboeck (Henry Stauf), Debra Ritz Mason, Larry Roher, Jolene Patrick, Julia Tucker, Michael Pocaro, Ted Lawson, Douglas Knapp</x:v>
      </x:c>
      <x:c r="U725" s="9" t="n">
        <x:v>2</x:v>
      </x:c>
      <x:c r="V725" s="9" t="str">
        <x:v>Yes</x:v>
      </x:c>
      <x:c r="W725" s="9" t="str">
        <x:v>Mouse</x:v>
      </x:c>
      <x:c r="X725" s="9" t="str">
        <x:v>Low</x:v>
      </x:c>
      <x:c r="Y725" s="9" t="str"/>
      <x:c r="Z725" s="9" t="str">
        <x:v>4–8 hr</x:v>
      </x:c>
      <x:c r="AA725" s="9" t="str">
        <x:v>The game that sold CD-ROM drives: transparent live-action ghosts drifting through a pre-rendered haunted mansion.</x:v>
      </x:c>
      <x:c r="AB725" s="9" t="str">
        <x:v>None known</x:v>
      </x:c>
      <x:c r="AC725" s="9" t="str">
        <x:v>Rendered mansion fly-throughs plus live-action ghost overlays; 640x320 letterboxed (verify for Mac)</x:v>
      </x:c>
      <x:c r="AD725" s="9" t="str">
        <x:v>Hard puzzles (microscope infection, knights), with a hint library</x:v>
      </x:c>
      <x:c r="AE725" s="9" t="str">
        <x:v>One ending</x:v>
      </x:c>
      <x:c r="AF725" s="9" t="str">
        <x:v>Disc two held nearly half an hour of George 'The Fat Man' Sanger's soundtrack as Red Book audio.</x:v>
      </x:c>
      <x:c r="AG725" s="9" t="str">
        <x:v>Mac CD release Feb 1994 (separate Mac edition — verify if hybrid)</x:v>
      </x:c>
      <x:c r="AH725" s="9" t="str">
        <x:v>Yes (25th Anniversary Edition on Steam/GOG for Windows, macOS, Linux)</x:v>
      </x:c>
      <x:c r="AI725" s="9" t="str">
        <x:v>Easy</x:v>
      </x:c>
      <x:c r="AJ725" s="9" t="str">
        <x:v>Original Mac discs run in Basilisk II/SheepShaver; ScummVM (Groovie engine) plays the data; the 25th Anniversary Edition is on Steam and GOG for macOS.</x:v>
      </x:c>
      <x:c r="AK725" s="9" t="str">
        <x:v>Mac version reviewed by Dragon and AllGame (4.5/5).</x:v>
      </x:c>
      <x:c r="AL725" s="10" t="n">
        <x:v>10</x:v>
      </x:c>
      <x:c r="AM725" s="10" t="n">
        <x:v>15.27</x:v>
      </x:c>
      <x:c r="AN725" s="10" t="n">
        <x:v>50</x:v>
      </x:c>
      <x:c r="AO725" s="9" t="str">
        <x:v>2026-10-24</x:v>
      </x:c>
      <x:c r="AP725" s="11" t="str">
        <x:f>HYPERLINK("https://www.pricecharting.com/game/macintosh/the-7th-guest","PriceCharting")</x:f>
        <x:v>PriceCharting</x:v>
      </x:c>
      <x:c r="AQ725" s="9"/>
      <x:c r="AR725" s="9"/>
      <x:c r="AS725" s="9"/>
      <x:c r="AT725" s="9"/>
      <x:c r="AU725" s="9"/>
      <x:c r="AV725" s="9"/>
      <x:c r="AW725" s="9"/>
      <x:c r="AX725" s="9"/>
      <x:c r="AY725" s="9"/>
      <x:c r="AZ725" s="9" t="str">
        <x:v>4.0</x:v>
      </x:c>
      <x:c r="BA725" s="11" t="str">
        <x:f>HYPERLINK("https://www.mobygames.com/game/283/the-7th-guest/","MobyGames")</x:f>
        <x:v>MobyGames</x:v>
      </x:c>
      <x:c r="BB725" s="9" t="str">
        <x:v>89%</x:v>
      </x:c>
      <x:c r="BC725" s="9" t="str">
        <x:v>average of 2 reviews on Wikipedia (Allgame, Hyper)</x:v>
      </x:c>
      <x:c r="BD725" s="9" t="str">
        <x:f>HYPERLINK("https://en.wikipedia.org/wiki/The_7th_Guest","Source")</x:f>
        <x:v>Source</x:v>
      </x:c>
      <x:c r="BE725" s="11" t="str">
        <x:f>HYPERLINK("https://en.wikipedia.org/wiki/The_7th_Guest","Wikipedia")</x:f>
        <x:v>Wikipedia</x:v>
      </x:c>
      <x:c r="BF725" s="11" t="str">
        <x:f>HYPERLINK("https://backloggd.com/search/games/The%207th%20Guest/","Backloggd")</x:f>
        <x:v>Backloggd</x:v>
      </x:c>
      <x:c r="BG725" s="9"/>
      <x:c r="BH725" s="9"/>
      <x:c r="BI725" s="12" t="str">
        <x:v>No</x:v>
      </x:c>
      <x:c r="BJ725" s="12" t="str"/>
      <x:c r="BK725" s="12" t="str">
        <x:v>No</x:v>
      </x:c>
      <x:c r="BL725" s="12" t="str"/>
      <x:c r="BM725" s="12" t="str"/>
      <x:c r="BN725" s="12" t="str"/>
      <x:c r="BO725" s="12" t="str"/>
      <x:c r="BP725" s="12" t="str"/>
      <x:c r="BQ725" s="12" t="str"/>
    </x:row>
    <x:row r="726">
      <x:c r="A726" s="9" t="str">
        <x:v>mac-20</x:v>
      </x:c>
      <x:c r="B726" s="9" t="str">
        <x:v>the-11th-hour</x:v>
      </x:c>
      <x:c r="C726" s="9" t="str">
        <x:v>Macintosh</x:v>
      </x:c>
      <x:c r="D726" s="9" t="str">
        <x:v>The 11th Hour</x:v>
      </x:c>
      <x:c r="E726" s="9" t="str"/>
      <x:c r="F726" s="9" t="str">
        <x:v>Trilobyte</x:v>
      </x:c>
      <x:c r="G726" s="9" t="str">
        <x:v>Virgin Interactive Entertainment</x:v>
      </x:c>
      <x:c r="H726" s="9" t="n">
        <x:v>1998</x:v>
      </x:c>
      <x:c r="I726" s="9" t="str">
        <x:v>Yes</x:v>
      </x:c>
      <x:c r="J726" s="9" t="str">
        <x:v>No</x:v>
      </x:c>
      <x:c r="K726" s="9" t="str">
        <x:v>No</x:v>
      </x:c>
      <x:c r="L726" s="9" t="str">
        <x:v>No</x:v>
      </x:c>
      <x:c r="M726" s="9" t="str">
        <x:v>Puzzle adventure / horror</x:v>
      </x:c>
      <x:c r="N726" s="9" t="str">
        <x:v>Live-action + pre-rendered CG</x:v>
      </x:c>
      <x:c r="O726" s="9" t="n">
        <x:v>7</x:v>
      </x:c>
      <x:c r="P726" s="9" t="str">
        <x:v>Interactive movie</x:v>
      </x:c>
      <x:c r="Q726" s="9" t="str">
        <x:v>Released</x:v>
      </x:c>
      <x:c r="R726" s="9" t="str">
        <x:v>PC original (1995), sequel to The 7th Guest</x:v>
      </x:c>
      <x:c r="S726" s="9" t="str">
        <x:v>MS-DOS, Windows</x:v>
      </x:c>
      <x:c r="T726" s="9" t="str">
        <x:v>Robert Hirschboeck (Stauf); rest of cast — verify</x:v>
      </x:c>
      <x:c r="U726" s="9" t="n">
        <x:v>4</x:v>
      </x:c>
      <x:c r="V726" s="9" t="str">
        <x:v>Yes</x:v>
      </x:c>
      <x:c r="W726" s="9" t="str">
        <x:v>Mouse</x:v>
      </x:c>
      <x:c r="X726" s="9" t="str">
        <x:v>Low</x:v>
      </x:c>
      <x:c r="Y726" s="9" t="str"/>
      <x:c r="Z726" s="9" t="str">
        <x:v>6–10 hr</x:v>
      </x:c>
      <x:c r="AA726" s="9" t="str">
        <x:v>The 7th Guest's sleazier, video-heavy sequel, with a full live-action mystery told on a handheld GameBook.</x:v>
      </x:c>
      <x:c r="AB726" s="9" t="str">
        <x:v>None known</x:v>
      </x:c>
      <x:c r="AC726" s="9" t="str">
        <x:v>Full-screen-ish live-action video compressed with Wavelet; blue-screen scenes; Mac quality — verify</x:v>
      </x:c>
      <x:c r="AD726" s="9" t="str">
        <x:v>Hard; riddle treasure hunt plus logic puzzles</x:v>
      </x:c>
      <x:c r="AE726" s="9" t="str">
        <x:v>Three endings, chosen by which character you pick at the end</x:v>
      </x:c>
      <x:c r="AF726" s="9" t="str">
        <x:v>Released over two years late; a scripted R-rated sex scene was never filmed; Mac port arrived in July 1998.</x:v>
      </x:c>
      <x:c r="AG726" s="9" t="str">
        <x:v>Mac CD set (1998); hybrid status — verify</x:v>
      </x:c>
      <x:c r="AH726" s="9" t="str">
        <x:v>Yes (Steam/GOG, Windows; macOS — verify)</x:v>
      </x:c>
      <x:c r="AI726" s="9" t="str">
        <x:v>Easy</x:v>
      </x:c>
      <x:c r="AJ726" s="9" t="str">
        <x:v>Mac discs run in SheepShaver/Basilisk II; ScummVM (Groovie engine) supports The 11th Hour; the PC version is sold on Steam and GOG.</x:v>
      </x:c>
      <x:c r="AK726" s="9" t="str">
        <x:v>Mac port came nearly three years after the PC original.</x:v>
      </x:c>
      <x:c r="AL726" s="10"/>
      <x:c r="AM726" s="10"/>
      <x:c r="AN726" s="10"/>
      <x:c r="AO726" s="9"/>
      <x:c r="AP726" s="11" t="str">
        <x:f>HYPERLINK("https://www.pricecharting.com/search-products?q=The+11th+Hour+macintosh&amp;type=prices","PriceCharting")</x:f>
        <x:v>PriceCharting</x:v>
      </x:c>
      <x:c r="AQ726" s="9"/>
      <x:c r="AR726" s="9"/>
      <x:c r="AS726" s="9"/>
      <x:c r="AT726" s="9"/>
      <x:c r="AU726" s="9" t="str">
        <x:v>No market</x:v>
      </x:c>
      <x:c r="AV726" s="9" t="str">
        <x:v>Not listed on PriceCharting, whose Macintosh console has only about 110 items (searched 2026-10-25). The PC version is on GOG ($1.19).</x:v>
      </x:c>
      <x:c r="AW726" s="9"/>
      <x:c r="AX726" s="9"/>
      <x:c r="AY726" s="9"/>
      <x:c r="AZ726" s="9"/>
      <x:c r="BA726" s="11" t="str">
        <x:f>HYPERLINK("https://www.mobygames.com/search/?q=The+11th+Hour","MobyGames")</x:f>
        <x:v>MobyGames</x:v>
      </x:c>
      <x:c r="BB726" s="9" t="str">
        <x:v>30%</x:v>
      </x:c>
      <x:c r="BC726" s="9" t="str">
        <x:v>average of 1 review on Wikipedia (Allgame)</x:v>
      </x:c>
      <x:c r="BD726" s="9" t="str">
        <x:f>HYPERLINK("https://en.wikipedia.org/wiki/The_11th_Hour_%28video_game%29","Source")</x:f>
        <x:v>Source</x:v>
      </x:c>
      <x:c r="BE726" s="11" t="str">
        <x:f>HYPERLINK("https://en.wikipedia.org/wiki/The_11th_Hour_(video_game)","Wikipedia")</x:f>
        <x:v>Wikipedia</x:v>
      </x:c>
      <x:c r="BF726" s="11" t="str">
        <x:f>HYPERLINK("https://backloggd.com/search/games/The%2011th%20Hour/","Backloggd")</x:f>
        <x:v>Backloggd</x:v>
      </x:c>
      <x:c r="BG726" s="9"/>
      <x:c r="BH726" s="9"/>
      <x:c r="BI726" s="12" t="str">
        <x:v>No</x:v>
      </x:c>
      <x:c r="BJ726" s="12" t="str"/>
      <x:c r="BK726" s="12" t="str">
        <x:v>No</x:v>
      </x:c>
      <x:c r="BL726" s="12" t="str"/>
      <x:c r="BM726" s="12" t="str"/>
      <x:c r="BN726" s="12" t="str"/>
      <x:c r="BO726" s="12" t="str"/>
      <x:c r="BP726" s="12" t="str"/>
      <x:c r="BQ726" s="12" t="str"/>
    </x:row>
    <x:row r="727">
      <x:c r="A727" s="9" t="str">
        <x:v>mac-21</x:v>
      </x:c>
      <x:c r="B727" s="9" t="str">
        <x:v>phantasmagoria</x:v>
      </x:c>
      <x:c r="C727" s="9" t="str">
        <x:v>Macintosh</x:v>
      </x:c>
      <x:c r="D727" s="9" t="str">
        <x:v>Phantasmagoria</x:v>
      </x:c>
      <x:c r="E727" s="9" t="str"/>
      <x:c r="F727" s="9" t="str">
        <x:v>Sierra On-Line</x:v>
      </x:c>
      <x:c r="G727" s="9" t="str">
        <x:v>Sierra On-Line</x:v>
      </x:c>
      <x:c r="H727" s="9" t="n">
        <x:v>1995</x:v>
      </x:c>
      <x:c r="I727" s="9" t="str">
        <x:v>Yes</x:v>
      </x:c>
      <x:c r="J727" s="9" t="str">
        <x:v>No</x:v>
      </x:c>
      <x:c r="K727" s="9" t="str">
        <x:v>Yes</x:v>
      </x:c>
      <x:c r="L727" s="9" t="str">
        <x:v>No</x:v>
      </x:c>
      <x:c r="M727" s="9" t="str">
        <x:v>Horror point-and-click adventure</x:v>
      </x:c>
      <x:c r="N727" s="9" t="str">
        <x:v>Live-action + pre-rendered CG</x:v>
      </x:c>
      <x:c r="O727" s="9" t="n">
        <x:v>8</x:v>
      </x:c>
      <x:c r="P727" s="9" t="str">
        <x:v>Interactive movie</x:v>
      </x:c>
      <x:c r="Q727" s="9" t="str">
        <x:v>Released</x:v>
      </x:c>
      <x:c r="R727" s="9" t="str">
        <x:v>PC original (1995)</x:v>
      </x:c>
      <x:c r="S727" s="9" t="str">
        <x:v>MS-DOS, Windows, Saturn (JP, as Phantasm)</x:v>
      </x:c>
      <x:c r="T727" s="9" t="str">
        <x:v>Victoria Morsell (Adrienne Delaney), David Homb (Don Gordon), Robert Miano (Zoltan Carnovasch), V. Joy Lee (Harriet), Steven W. Bailey (Cyrus), Douglas Seale (Malcolm Wyrmshadow)</x:v>
      </x:c>
      <x:c r="U727" s="9" t="n">
        <x:v>7</x:v>
      </x:c>
      <x:c r="V727" s="9" t="str">
        <x:v>Yes</x:v>
      </x:c>
      <x:c r="W727" s="9" t="str">
        <x:v>Mouse</x:v>
      </x:c>
      <x:c r="X727" s="9" t="str">
        <x:v>Low</x:v>
      </x:c>
      <x:c r="Y727" s="9" t="str"/>
      <x:c r="Z727" s="9" t="str">
        <x:v>5–8 hr</x:v>
      </x:c>
      <x:c r="AA727" s="9" t="str">
        <x:v>Roberta Williams' $4.5-million, seven-disc horror movie with gore notorious enough to get it banned in Australia.</x:v>
      </x:c>
      <x:c r="AB727" s="9" t="str">
        <x:v>None known</x:v>
      </x:c>
      <x:c r="AC727" s="9" t="str">
        <x:v>Live-action actors composited over pre-rendered CG rooms; small video window inside 640x480 frame (verify Mac quality)</x:v>
      </x:c>
      <x:c r="AD727" s="9" t="str">
        <x:v>Easy; few dead ends, hint skull</x:v>
      </x:c>
      <x:c r="AE727" s="9" t="str">
        <x:v>One ending</x:v>
      </x:c>
      <x:c r="AF727" s="9" t="str">
        <x:v>Sierra built a $1.5 million blue-screen studio in Oakhurst for it; the game has a password-protected gore filter.</x:v>
      </x:c>
      <x:c r="AG727" s="9" t="str">
        <x:v>Mac 7-CD release Nov 1995; Roberta Williams Anthology (PC) carried chapter 1 only</x:v>
      </x:c>
      <x:c r="AH727" s="9" t="str">
        <x:v>Yes (GOG, Windows; macOS via ScummVM bundle — verify)</x:v>
      </x:c>
      <x:c r="AI727" s="9" t="str">
        <x:v>Easy</x:v>
      </x:c>
      <x:c r="AJ727" s="9" t="str">
        <x:v>Mac discs run in SheepShaver/Basilisk II; ScummVM (SCI32) supports the game; the PC version is on GOG.</x:v>
      </x:c>
      <x:c r="AK727" s="9" t="str">
        <x:v>Rated M; Australia refused classification.</x:v>
      </x:c>
      <x:c r="AL727" s="10"/>
      <x:c r="AM727" s="10"/>
      <x:c r="AN727" s="10"/>
      <x:c r="AO727" s="9"/>
      <x:c r="AP727" s="11" t="str">
        <x:f>HYPERLINK("https://www.pricecharting.com/search-products?q=Phantasmagoria+macintosh&amp;type=prices","PriceCharting")</x:f>
        <x:v>PriceCharting</x:v>
      </x:c>
      <x:c r="AQ727" s="9"/>
      <x:c r="AR727" s="9"/>
      <x:c r="AS727" s="9"/>
      <x:c r="AT727" s="9"/>
      <x:c r="AU727" s="9" t="str">
        <x:v>No market</x:v>
      </x:c>
      <x:c r="AV727" s="9" t="str">
        <x:v>Not listed on PriceCharting, whose Macintosh console has only about 110 items (searched 2026-10-25). The PC version is on Steam ($9.99).</x:v>
      </x:c>
      <x:c r="AW727" s="9"/>
      <x:c r="AX727" s="9"/>
      <x:c r="AY727" s="9"/>
      <x:c r="AZ727" s="9"/>
      <x:c r="BA727" s="11" t="str">
        <x:f>HYPERLINK("https://www.mobygames.com/search/?q=Phantasmagoria","MobyGames")</x:f>
        <x:v>MobyGames</x:v>
      </x:c>
      <x:c r="BB727" s="9"/>
      <x:c r="BC727" s="9"/>
      <x:c r="BD727" s="9"/>
      <x:c r="BE727" s="11" t="str">
        <x:f>HYPERLINK("https://en.wikipedia.org/wiki/Phantasmagoria_(video_game)","Wikipedia")</x:f>
        <x:v>Wikipedia</x:v>
      </x:c>
      <x:c r="BF727" s="11" t="str">
        <x:f>HYPERLINK("https://backloggd.com/search/games/Phantasmagoria/","Backloggd")</x:f>
        <x:v>Backloggd</x:v>
      </x:c>
      <x:c r="BG727" s="9"/>
      <x:c r="BH727" s="9"/>
      <x:c r="BI727" s="12" t="str">
        <x:v>No</x:v>
      </x:c>
      <x:c r="BJ727" s="12" t="str"/>
      <x:c r="BK727" s="12" t="str">
        <x:v>No</x:v>
      </x:c>
      <x:c r="BL727" s="12" t="str"/>
      <x:c r="BM727" s="12" t="str"/>
      <x:c r="BN727" s="12" t="str"/>
      <x:c r="BO727" s="12" t="str"/>
      <x:c r="BP727" s="12" t="str"/>
      <x:c r="BQ727" s="12" t="str"/>
    </x:row>
    <x:row r="728">
      <x:c r="A728" s="9" t="str">
        <x:v>mac-22</x:v>
      </x:c>
      <x:c r="B728" s="9" t="str">
        <x:v>gabriel-knight-2-the-beast-within</x:v>
      </x:c>
      <x:c r="C728" s="9" t="str">
        <x:v>Macintosh</x:v>
      </x:c>
      <x:c r="D728" s="9" t="str">
        <x:v>Gabriel Knight 2: The Beast Within</x:v>
      </x:c>
      <x:c r="E728" s="9" t="str">
        <x:v>The Beast Within: A Gabriel Knight Mystery</x:v>
      </x:c>
      <x:c r="F728" s="9" t="str">
        <x:v>Sierra On-Line</x:v>
      </x:c>
      <x:c r="G728" s="9" t="str">
        <x:v>Sierra On-Line</x:v>
      </x:c>
      <x:c r="H728" s="9" t="n">
        <x:v>1995</x:v>
      </x:c>
      <x:c r="I728" s="9" t="str">
        <x:v>Yes</x:v>
      </x:c>
      <x:c r="J728" s="9" t="str">
        <x:v>No</x:v>
      </x:c>
      <x:c r="K728" s="9" t="str">
        <x:v>Yes</x:v>
      </x:c>
      <x:c r="L728" s="9" t="str">
        <x:v>No</x:v>
      </x:c>
      <x:c r="M728" s="9" t="str">
        <x:v>Point-and-click adventure</x:v>
      </x:c>
      <x:c r="N728" s="9" t="str">
        <x:v>Live-action</x:v>
      </x:c>
      <x:c r="O728" s="9" t="n">
        <x:v>9</x:v>
      </x:c>
      <x:c r="P728" s="9" t="str">
        <x:v>Interactive movie</x:v>
      </x:c>
      <x:c r="Q728" s="9" t="str">
        <x:v>Released</x:v>
      </x:c>
      <x:c r="R728" s="9" t="str">
        <x:v>PC original (1995)</x:v>
      </x:c>
      <x:c r="S728" s="9" t="str">
        <x:v>MS-DOS, Windows</x:v>
      </x:c>
      <x:c r="T728" s="9" t="str">
        <x:v>Dean Erickson (Gabriel Knight), Joanne Takahashi (Grace Nakimura), Andrea Martin (Gerde Hull), Nicholas Worth (Leber), Peter J. Lucas, Kay E. Kuter, Wolf Muser</x:v>
      </x:c>
      <x:c r="U728" s="9" t="n">
        <x:v>6</x:v>
      </x:c>
      <x:c r="V728" s="9" t="str">
        <x:v>Yes</x:v>
      </x:c>
      <x:c r="W728" s="9" t="str">
        <x:v>Mouse</x:v>
      </x:c>
      <x:c r="X728" s="9" t="str">
        <x:v>Low–Med</x:v>
      </x:c>
      <x:c r="Y728" s="9" t="str">
        <x:v>Opera excerpts (Wagner-inspired score is original by Robert Holmes; verify any licensed recordings)</x:v>
      </x:c>
      <x:c r="Z728" s="9" t="str">
        <x:v>10–15 hr</x:v>
      </x:c>
      <x:c r="AA728" s="9" t="str">
        <x:v>The prestige FMV adventure: Jane Jensen's Bavarian werewolf story, shot entirely on live-action sets and photographed locations.</x:v>
      </x:c>
      <x:c r="AB728" s="9" t="str">
        <x:v>None known</x:v>
      </x:c>
      <x:c r="AC728" s="9" t="str">
        <x:v>Full live-action video over photographed backgrounds; Mac version uses Sierra's own player rather than QuickTime and can stutter or crash on 68k Macs</x:v>
      </x:c>
      <x:c r="AD728" s="9" t="str">
        <x:v>Moderate; a few tricky timed scenes in chapter 6</x:v>
      </x:c>
      <x:c r="AE728" s="9" t="str">
        <x:v>One ending</x:v>
      </x:c>
      <x:c r="AF728" s="9" t="str">
        <x:v>Tim Curry was replaced by Dean Erickson; director Will Binder allowed at most two takes; Violet Berlin cameos after Bad Influence! filmed the shoot.</x:v>
      </x:c>
      <x:c r="AG728" s="9" t="str">
        <x:v>Mac 6-CD release (1995/96 — verify date); hybrid status — verify</x:v>
      </x:c>
      <x:c r="AH728" s="9" t="str">
        <x:v>Yes (GOG/Steam, Windows; macOS — verify)</x:v>
      </x:c>
      <x:c r="AI728" s="9" t="str">
        <x:v>Easy</x:v>
      </x:c>
      <x:c r="AJ728" s="9" t="str">
        <x:v>Mac discs run best in SheepShaver/PowerPC Macs; ScummVM (SCI32) supports it; PC version on GOG and Steam.</x:v>
      </x:c>
      <x:c r="AK728" s="9" t="str">
        <x:v>Run on a PowerPC Mac or SheepShaver for smoother video.</x:v>
      </x:c>
      <x:c r="AL728" s="10"/>
      <x:c r="AM728" s="10"/>
      <x:c r="AN728" s="10"/>
      <x:c r="AO728" s="9"/>
      <x:c r="AP728" s="11" t="str">
        <x:f>HYPERLINK("https://www.pricecharting.com/search-products?q=Gabriel+Knight+2%3A+The+Beast+Within+macintosh&amp;type=prices","PriceCharting")</x:f>
        <x:v>PriceCharting</x:v>
      </x:c>
      <x:c r="AQ728" s="9"/>
      <x:c r="AR728" s="9"/>
      <x:c r="AS728" s="9"/>
      <x:c r="AT728" s="9"/>
      <x:c r="AU728" s="9" t="str">
        <x:v>No market</x:v>
      </x:c>
      <x:c r="AV728" s="9" t="str">
        <x:v>Not listed on PriceCharting, whose Macintosh console has only about 110 items (searched 2026-10-25). The PC version is on Steam ($5.99).</x:v>
      </x:c>
      <x:c r="AW728" s="9"/>
      <x:c r="AX728" s="9"/>
      <x:c r="AY728" s="9" t="str">
        <x:v>82%</x:v>
      </x:c>
      <x:c r="AZ728" s="9" t="str">
        <x:v>3.3</x:v>
      </x:c>
      <x:c r="BA728" s="11" t="str">
        <x:f>HYPERLINK("https://www.mobygames.com/search/?q=Gabriel+Knight+2%3A+The+Beast+Within","MobyGames")</x:f>
        <x:v>MobyGames</x:v>
      </x:c>
      <x:c r="BB728" s="9"/>
      <x:c r="BC728" s="9"/>
      <x:c r="BD728" s="9"/>
      <x:c r="BE728" s="11" t="str">
        <x:f>HYPERLINK("https://en.wikipedia.org/wiki/Gabriel_Knight_2:_The_Beast_Within","Wikipedia")</x:f>
        <x:v>Wikipedia</x:v>
      </x:c>
      <x:c r="BF728" s="11" t="str">
        <x:f>HYPERLINK("https://backloggd.com/search/games/Gabriel%20Knight%202%3A%20The%20Beast%20Within/","Backloggd")</x:f>
        <x:v>Backloggd</x:v>
      </x:c>
      <x:c r="BG728" s="9"/>
      <x:c r="BH728" s="9"/>
      <x:c r="BI728" s="12" t="str">
        <x:v>No</x:v>
      </x:c>
      <x:c r="BJ728" s="12" t="str"/>
      <x:c r="BK728" s="12" t="str">
        <x:v>No</x:v>
      </x:c>
      <x:c r="BL728" s="12" t="str"/>
      <x:c r="BM728" s="12" t="str"/>
      <x:c r="BN728" s="12" t="str"/>
      <x:c r="BO728" s="12" t="str"/>
      <x:c r="BP728" s="12" t="str"/>
      <x:c r="BQ728" s="12" t="str"/>
    </x:row>
    <x:row r="729">
      <x:c r="A729" s="9" t="str">
        <x:v>mac-23</x:v>
      </x:c>
      <x:c r="B729" s="9" t="str">
        <x:v>return-to-zork</x:v>
      </x:c>
      <x:c r="C729" s="9" t="str">
        <x:v>Macintosh</x:v>
      </x:c>
      <x:c r="D729" s="9" t="str">
        <x:v>Return to Zork</x:v>
      </x:c>
      <x:c r="E729" s="9" t="str"/>
      <x:c r="F729" s="9" t="str">
        <x:v>Activision</x:v>
      </x:c>
      <x:c r="G729" s="9" t="str">
        <x:v>Activision / Infocom</x:v>
      </x:c>
      <x:c r="H729" s="9" t="n">
        <x:v>1993</x:v>
      </x:c>
      <x:c r="I729" s="9" t="str">
        <x:v>Yes</x:v>
      </x:c>
      <x:c r="J729" s="9" t="str">
        <x:v>No</x:v>
      </x:c>
      <x:c r="K729" s="9" t="str">
        <x:v>Yes</x:v>
      </x:c>
      <x:c r="L729" s="9" t="str">
        <x:v>No</x:v>
      </x:c>
      <x:c r="M729" s="9" t="str">
        <x:v>Graphic adventure</x:v>
      </x:c>
      <x:c r="N729" s="9" t="str">
        <x:v>Live-action + CG</x:v>
      </x:c>
      <x:c r="O729" s="9" t="n">
        <x:v>5</x:v>
      </x:c>
      <x:c r="P729" s="9" t="str">
        <x:v>FMV adventure</x:v>
      </x:c>
      <x:c r="Q729" s="9" t="str">
        <x:v>Released</x:v>
      </x:c>
      <x:c r="R729" s="9" t="str">
        <x:v>Original production (Zork series)</x:v>
      </x:c>
      <x:c r="S729" s="9" t="str">
        <x:v>MS-DOS, FM Towns, PC-FX, Saturn (JP), PlayStation (JP)</x:v>
      </x:c>
      <x:c r="T729" s="9" t="str">
        <x:v>Robyn Lively (The Fairy), Jason Hervey (Troll King), Sam J. Jones (Blind Bowman), A.J. Langer (Rebecca Snoot)</x:v>
      </x:c>
      <x:c r="U729" s="9" t="n">
        <x:v>1</x:v>
      </x:c>
      <x:c r="V729" s="9" t="str">
        <x:v>Yes</x:v>
      </x:c>
      <x:c r="W729" s="9" t="str">
        <x:v>Mouse</x:v>
      </x:c>
      <x:c r="X729" s="9" t="str">
        <x:v>Low</x:v>
      </x:c>
      <x:c r="Y729" s="9" t="str"/>
      <x:c r="Z729" s="9" t="str">
        <x:v>6–10 hr</x:v>
      </x:c>
      <x:c r="AA729" s="9" t="str">
        <x:v>Want some rye? Course ya do: the meme-famous live-action Zork, released on Mac day-and-date with DOS.</x:v>
      </x:c>
      <x:c r="AB729" s="9" t="str">
        <x:v>None known</x:v>
      </x:c>
      <x:c r="AC729" s="9" t="str">
        <x:v>Live-action actors in small windows over rendered scenes; Mac MPEG edition has FMV during gameplay (verify which Mac editions)</x:v>
      </x:c>
      <x:c r="AD729" s="9" t="str">
        <x:v>Hard; unwinnable states possible</x:v>
      </x:c>
      <x:c r="AE729" s="9" t="str">
        <x:v>One main ending (verify)</x:v>
      </x:c>
      <x:c r="AF729" s="9" t="str">
        <x:v>Cost about $1.5 million; the post-launch patch introduced a bug that removed a way to finish the game.</x:v>
      </x:c>
      <x:c r="AG729" s="9" t="str">
        <x:v>Mac CD (Sept 1993); Macintosh MPEG edition; hybrid status — verify</x:v>
      </x:c>
      <x:c r="AH729" s="9" t="str">
        <x:v>No</x:v>
      </x:c>
      <x:c r="AI729" s="9" t="str">
        <x:v>Easy</x:v>
      </x:c>
      <x:c r="AJ729" s="9" t="str">
        <x:v>Mac CD runs in Basilisk II/SheepShaver or on a 68k/PPC Mac; no current digital release.</x:v>
      </x:c>
      <x:c r="AK729" s="9" t="str">
        <x:v>Not on GOG/Steam as of this check — verify.</x:v>
      </x:c>
      <x:c r="AL729" s="10"/>
      <x:c r="AM729" s="10"/>
      <x:c r="AN729" s="10"/>
      <x:c r="AO729" s="9"/>
      <x:c r="AP729" s="11" t="str">
        <x:f>HYPERLINK("https://www.pricecharting.com/search-products?q=Return+to+Zork+macintosh&amp;type=prices","PriceCharting")</x:f>
        <x:v>PriceCharting</x:v>
      </x:c>
      <x:c r="AQ729" s="9"/>
      <x:c r="AR729" s="9"/>
      <x:c r="AS729" s="9"/>
      <x:c r="AT729" s="9"/>
      <x:c r="AU729" s="9" t="str">
        <x:v>No market</x:v>
      </x:c>
      <x:c r="AV729" s="9" t="str">
        <x:v>Not listed on PriceCharting, whose Macintosh console has only about 110 items (searched 2026-10-25). The PC version is on GOG ($5.99).</x:v>
      </x:c>
      <x:c r="AW729" s="9"/>
      <x:c r="AX729" s="9"/>
      <x:c r="AY729" s="9"/>
      <x:c r="AZ729" s="9" t="str">
        <x:v>3.1</x:v>
      </x:c>
      <x:c r="BA729" s="11" t="str">
        <x:f>HYPERLINK("https://www.mobygames.com/search/?q=Return+to+Zork","MobyGames")</x:f>
        <x:v>MobyGames</x:v>
      </x:c>
      <x:c r="BB729" s="9" t="str">
        <x:v>60%</x:v>
      </x:c>
      <x:c r="BC729" s="9" t="str">
        <x:v>average of 1 review on Wikipedia (Allgame)</x:v>
      </x:c>
      <x:c r="BD729" s="9" t="str">
        <x:f>HYPERLINK("https://en.wikipedia.org/wiki/Return_to_Zork","Source")</x:f>
        <x:v>Source</x:v>
      </x:c>
      <x:c r="BE729" s="11" t="str">
        <x:f>HYPERLINK("https://en.wikipedia.org/wiki/Return_to_Zork","Wikipedia")</x:f>
        <x:v>Wikipedia</x:v>
      </x:c>
      <x:c r="BF729" s="11" t="str">
        <x:f>HYPERLINK("https://backloggd.com/search/games/Return%20to%20Zork/","Backloggd")</x:f>
        <x:v>Backloggd</x:v>
      </x:c>
      <x:c r="BG729" s="9"/>
      <x:c r="BH729" s="9"/>
      <x:c r="BI729" s="12" t="str">
        <x:v>No</x:v>
      </x:c>
      <x:c r="BJ729" s="12" t="str"/>
      <x:c r="BK729" s="12" t="str">
        <x:v>No</x:v>
      </x:c>
      <x:c r="BL729" s="12" t="str"/>
      <x:c r="BM729" s="12" t="str"/>
      <x:c r="BN729" s="12" t="str"/>
      <x:c r="BO729" s="12" t="str"/>
      <x:c r="BP729" s="12" t="str"/>
      <x:c r="BQ729" s="12" t="str"/>
    </x:row>
    <x:row r="730">
      <x:c r="A730" s="9" t="str">
        <x:v>mac-24</x:v>
      </x:c>
      <x:c r="B730" s="9" t="str">
        <x:v>zork-nemesis</x:v>
      </x:c>
      <x:c r="C730" s="9" t="str">
        <x:v>Macintosh</x:v>
      </x:c>
      <x:c r="D730" s="9" t="str">
        <x:v>Zork Nemesis: The Forbidden Lands</x:v>
      </x:c>
      <x:c r="E730" s="9" t="str"/>
      <x:c r="F730" s="9" t="str">
        <x:v>Zombie LLC / Activision</x:v>
      </x:c>
      <x:c r="G730" s="9" t="str">
        <x:v>Activision</x:v>
      </x:c>
      <x:c r="H730" s="9" t="n">
        <x:v>1996</x:v>
      </x:c>
      <x:c r="I730" s="9" t="str">
        <x:v>Yes</x:v>
      </x:c>
      <x:c r="J730" s="9" t="str">
        <x:v>No</x:v>
      </x:c>
      <x:c r="K730" s="9" t="str">
        <x:v>Yes</x:v>
      </x:c>
      <x:c r="L730" s="9" t="str">
        <x:v>No</x:v>
      </x:c>
      <x:c r="M730" s="9" t="str">
        <x:v>First-person puzzle adventure</x:v>
      </x:c>
      <x:c r="N730" s="9" t="str">
        <x:v>Live-action + pre-rendered CG</x:v>
      </x:c>
      <x:c r="O730" s="9" t="n">
        <x:v>5</x:v>
      </x:c>
      <x:c r="P730" s="9" t="str">
        <x:v>FMV adventure</x:v>
      </x:c>
      <x:c r="Q730" s="9" t="str">
        <x:v>Released</x:v>
      </x:c>
      <x:c r="R730" s="9" t="str">
        <x:v>Original production (Zork series)</x:v>
      </x:c>
      <x:c r="S730" s="9" t="str">
        <x:v>MS-DOS, Windows 95</x:v>
      </x:c>
      <x:c r="T730" s="9" t="str">
        <x:v>Lauren Koslow, W. Morgan Sheppard, Allan Kolman, Stephen Macht, Paul Anthony Stewart, Merle Kennedy, Bruce Nozick</x:v>
      </x:c>
      <x:c r="U730" s="9" t="n">
        <x:v>3</x:v>
      </x:c>
      <x:c r="V730" s="9" t="str">
        <x:v>Yes</x:v>
      </x:c>
      <x:c r="W730" s="9" t="str">
        <x:v>Mouse</x:v>
      </x:c>
      <x:c r="X730" s="9" t="str">
        <x:v>Low</x:v>
      </x:c>
      <x:c r="Y730" s="9" t="str"/>
      <x:c r="Z730" s="9" t="str">
        <x:v>8–12 hr</x:v>
      </x:c>
      <x:c r="AA730" s="9" t="str">
        <x:v>A dark, alchemical Zork with live-action ghosts and a $3.5 million budget, panned 360° in 'Z-Vision'.</x:v>
      </x:c>
      <x:c r="AB730" s="9" t="str">
        <x:v>None known</x:v>
      </x:c>
      <x:c r="AC730" s="9" t="str">
        <x:v>Live-action video composited into panoramic pre-rendered scenes (Z-Vision); Mac quality — verify</x:v>
      </x:c>
      <x:c r="AD730" s="9" t="str">
        <x:v>Hard; alchemy puzzles</x:v>
      </x:c>
      <x:c r="AE730" s="9" t="str">
        <x:v>One ending plus deaths (verify)</x:v>
      </x:c>
      <x:c r="AF730" s="9" t="str">
        <x:v>Won a 1996 Spotlight Award for Best Prerendered Art; a planned third act was almost entirely cut.</x:v>
      </x:c>
      <x:c r="AG730" s="9" t="str">
        <x:v>Mac CD release 1996 (date — verify); hybrid status — verify</x:v>
      </x:c>
      <x:c r="AH730" s="9" t="str">
        <x:v>Yes (GOG, Windows)</x:v>
      </x:c>
      <x:c r="AI730" s="9" t="str">
        <x:v>Easy</x:v>
      </x:c>
      <x:c r="AJ730" s="9" t="str">
        <x:v>Mac discs run in SheepShaver/Basilisk II; ScummVM (ZVision engine) supports the game; PC version on GOG.</x:v>
      </x:c>
      <x:c r="AK730" s="9" t="str">
        <x:v>Mac release year given only as 1996 by Wikipedia.</x:v>
      </x:c>
      <x:c r="AL730" s="10"/>
      <x:c r="AM730" s="10"/>
      <x:c r="AN730" s="10"/>
      <x:c r="AO730" s="9"/>
      <x:c r="AP730" s="11" t="str">
        <x:f>HYPERLINK("https://www.pricecharting.com/search-products?q=Zork+Nemesis%3A+The+Forbidden+Lands+macintosh&amp;type=prices","PriceCharting")</x:f>
        <x:v>PriceCharting</x:v>
      </x:c>
      <x:c r="AQ730" s="9"/>
      <x:c r="AR730" s="9"/>
      <x:c r="AS730" s="9"/>
      <x:c r="AT730" s="9"/>
      <x:c r="AU730" s="9" t="str">
        <x:v>No market</x:v>
      </x:c>
      <x:c r="AV730" s="9" t="str">
        <x:v>Not listed on PriceCharting, whose Macintosh console has only about 110 items (searched 2026-10-25). The PC version is on Steam ($5.99).</x:v>
      </x:c>
      <x:c r="AW730" s="9"/>
      <x:c r="AX730" s="9"/>
      <x:c r="AY730" s="9"/>
      <x:c r="AZ730" s="9"/>
      <x:c r="BA730" s="11" t="str">
        <x:f>HYPERLINK("https://www.mobygames.com/search/?q=Zork+Nemesis","MobyGames")</x:f>
        <x:v>MobyGames</x:v>
      </x:c>
      <x:c r="BB730" s="9"/>
      <x:c r="BC730" s="9"/>
      <x:c r="BD730" s="9"/>
      <x:c r="BE730" s="11" t="str">
        <x:f>HYPERLINK("https://en.wikipedia.org/wiki/Zork_Nemesis","Wikipedia")</x:f>
        <x:v>Wikipedia</x:v>
      </x:c>
      <x:c r="BF730" s="11" t="str">
        <x:f>HYPERLINK("https://backloggd.com/search/games/Zork%20Nemesis%3A%20The%20Forbidden%20Lands/","Backloggd")</x:f>
        <x:v>Backloggd</x:v>
      </x:c>
      <x:c r="BG730" s="9"/>
      <x:c r="BH730" s="9"/>
      <x:c r="BI730" s="12" t="str">
        <x:v>No</x:v>
      </x:c>
      <x:c r="BJ730" s="12" t="str"/>
      <x:c r="BK730" s="12" t="str">
        <x:v>No</x:v>
      </x:c>
      <x:c r="BL730" s="12" t="str"/>
      <x:c r="BM730" s="12" t="str"/>
      <x:c r="BN730" s="12" t="str"/>
      <x:c r="BO730" s="12" t="str"/>
      <x:c r="BP730" s="12" t="str"/>
      <x:c r="BQ730" s="12" t="str"/>
    </x:row>
    <x:row r="731">
      <x:c r="A731" s="9" t="str">
        <x:v>mac-25</x:v>
      </x:c>
      <x:c r="B731" s="9" t="str">
        <x:v>zork-grand-inquisitor</x:v>
      </x:c>
      <x:c r="C731" s="9" t="str">
        <x:v>Macintosh</x:v>
      </x:c>
      <x:c r="D731" s="9" t="str">
        <x:v>Zork: Grand Inquisitor</x:v>
      </x:c>
      <x:c r="E731" s="9" t="str"/>
      <x:c r="F731" s="9" t="str">
        <x:v>Activision; Mac port by MacPlay</x:v>
      </x:c>
      <x:c r="G731" s="9" t="str">
        <x:v>Activision (MacPlay, Mac)</x:v>
      </x:c>
      <x:c r="H731" s="9" t="n">
        <x:v>2001</x:v>
      </x:c>
      <x:c r="I731" s="9" t="str">
        <x:v>Yes</x:v>
      </x:c>
      <x:c r="J731" s="9" t="str">
        <x:v>No</x:v>
      </x:c>
      <x:c r="K731" s="9" t="str">
        <x:v>No</x:v>
      </x:c>
      <x:c r="L731" s="9" t="str">
        <x:v>No</x:v>
      </x:c>
      <x:c r="M731" s="9" t="str">
        <x:v>Comedy graphic adventure</x:v>
      </x:c>
      <x:c r="N731" s="9" t="str">
        <x:v>Live-action + pre-rendered CG</x:v>
      </x:c>
      <x:c r="O731" s="9" t="n">
        <x:v>4</x:v>
      </x:c>
      <x:c r="P731" s="9" t="str">
        <x:v>FMV adventure</x:v>
      </x:c>
      <x:c r="Q731" s="9" t="str">
        <x:v>Released</x:v>
      </x:c>
      <x:c r="R731" s="9" t="str">
        <x:v>PC original (1997)</x:v>
      </x:c>
      <x:c r="S731" s="9" t="str">
        <x:v>Windows</x:v>
      </x:c>
      <x:c r="T731" s="9" t="str">
        <x:v>Erick Avari (Mir Yannick), Michael McKean (Dalboz, voice), Amy D. Jacobson (Lucy Flathead), Dirk Benedict (Antharia Jack), Marty Ingels, Earl Boen, Jordana Capra, David Lander, Rip Taylor</x:v>
      </x:c>
      <x:c r="U731" s="9" t="n">
        <x:v>1</x:v>
      </x:c>
      <x:c r="V731" s="9" t="str">
        <x:v>Yes</x:v>
      </x:c>
      <x:c r="W731" s="9" t="str">
        <x:v>Mouse</x:v>
      </x:c>
      <x:c r="X731" s="9" t="str">
        <x:v>Low</x:v>
      </x:c>
      <x:c r="Y731" s="9" t="str"/>
      <x:c r="Z731" s="9" t="str">
        <x:v>6–10 hr</x:v>
      </x:c>
      <x:c r="AA731" s="9" t="str">
        <x:v>The funniest Zork, with Dirk Benedict's live-action Antharia Jack and Michael McKean as a lantern.</x:v>
      </x:c>
      <x:c r="AB731" s="9" t="str">
        <x:v>None known</x:v>
      </x:c>
      <x:c r="AC731" s="9" t="str">
        <x:v>Live-action ghost scenes and cutscenes over panoramic CG (Z-Vision); Mac quality — verify</x:v>
      </x:c>
      <x:c r="AD731" s="9" t="str">
        <x:v>Moderate</x:v>
      </x:c>
      <x:c r="AE731" s="9" t="str">
        <x:v>One ending</x:v>
      </x:c>
      <x:c r="AF731" s="9" t="str">
        <x:v>The Mac port arrived four years late, in October 2001, as a MacPlay edition.</x:v>
      </x:c>
      <x:c r="AG731" s="9" t="str">
        <x:v>MacPlay Mac release (2001) — disc count verify</x:v>
      </x:c>
      <x:c r="AH731" s="9" t="str">
        <x:v>Yes (GOG/Steam, Windows)</x:v>
      </x:c>
      <x:c r="AI731" s="9" t="str">
        <x:v>Easy</x:v>
      </x:c>
      <x:c r="AJ731" s="9" t="str">
        <x:v>Mac disc runs on a PowerPC Mac or SheepShaver; ScummVM (ZVision engine) supports the game; PC version on GOG and Steam.</x:v>
      </x:c>
      <x:c r="AK731" s="9" t="str">
        <x:v>Late port near Mac OS X launch; check whether it runs in Classic only (verify).</x:v>
      </x:c>
      <x:c r="AL731" s="10"/>
      <x:c r="AM731" s="10"/>
      <x:c r="AN731" s="10"/>
      <x:c r="AO731" s="9"/>
      <x:c r="AP731" s="11" t="str">
        <x:f>HYPERLINK("https://www.pricecharting.com/search-products?q=Zork%3A+Grand+Inquisitor+macintosh&amp;type=prices","PriceCharting")</x:f>
        <x:v>PriceCharting</x:v>
      </x:c>
      <x:c r="AQ731" s="9"/>
      <x:c r="AR731" s="9"/>
      <x:c r="AS731" s="9"/>
      <x:c r="AT731" s="9"/>
      <x:c r="AU731" s="9" t="str">
        <x:v>No market</x:v>
      </x:c>
      <x:c r="AV731" s="9" t="str">
        <x:v>Not listed on PriceCharting, whose Macintosh console has only about 110 items (searched 2026-10-25). The PC version is on Steam ($5.99).</x:v>
      </x:c>
      <x:c r="AW731" s="9"/>
      <x:c r="AX731" s="9"/>
      <x:c r="AY731" s="9" t="str">
        <x:v>86%</x:v>
      </x:c>
      <x:c r="AZ731" s="9" t="str">
        <x:v>3.0</x:v>
      </x:c>
      <x:c r="BA731" s="11" t="str">
        <x:f>HYPERLINK("https://www.mobygames.com/search/?q=Zork%3A+Grand+Inquisitor","MobyGames")</x:f>
        <x:v>MobyGames</x:v>
      </x:c>
      <x:c r="BB731" s="9"/>
      <x:c r="BC731" s="9"/>
      <x:c r="BD731" s="9"/>
      <x:c r="BE731" s="11" t="str">
        <x:f>HYPERLINK("https://en.wikipedia.org/wiki/Zork:_Grand_Inquisitor","Wikipedia")</x:f>
        <x:v>Wikipedia</x:v>
      </x:c>
      <x:c r="BF731" s="11" t="str">
        <x:f>HYPERLINK("https://backloggd.com/search/games/Zork%3A%20Grand%20Inquisitor/","Backloggd")</x:f>
        <x:v>Backloggd</x:v>
      </x:c>
      <x:c r="BG731" s="9"/>
      <x:c r="BH731" s="9"/>
      <x:c r="BI731" s="12" t="str">
        <x:v>No</x:v>
      </x:c>
      <x:c r="BJ731" s="12" t="str"/>
      <x:c r="BK731" s="12" t="str">
        <x:v>No</x:v>
      </x:c>
      <x:c r="BL731" s="12" t="str"/>
      <x:c r="BM731" s="12" t="str"/>
      <x:c r="BN731" s="12" t="str"/>
      <x:c r="BO731" s="12" t="str"/>
      <x:c r="BP731" s="12" t="str"/>
      <x:c r="BQ731" s="12" t="str"/>
    </x:row>
    <x:row r="732">
      <x:c r="A732" s="9" t="str">
        <x:v>mac-26</x:v>
      </x:c>
      <x:c r="B732" s="9" t="str">
        <x:v>obsidian</x:v>
      </x:c>
      <x:c r="C732" s="9" t="str">
        <x:v>Macintosh</x:v>
      </x:c>
      <x:c r="D732" s="9" t="str">
        <x:v>Obsidian</x:v>
      </x:c>
      <x:c r="E732" s="9" t="str"/>
      <x:c r="F732" s="9" t="str">
        <x:v>Rocket Science Games</x:v>
      </x:c>
      <x:c r="G732" s="9" t="str">
        <x:v>SegaSoft</x:v>
      </x:c>
      <x:c r="H732" s="9" t="n">
        <x:v>1997</x:v>
      </x:c>
      <x:c r="I732" s="9" t="str">
        <x:v>Yes</x:v>
      </x:c>
      <x:c r="J732" s="9" t="str">
        <x:v>No</x:v>
      </x:c>
      <x:c r="K732" s="9" t="str">
        <x:v>No</x:v>
      </x:c>
      <x:c r="L732" s="9" t="str">
        <x:v>No</x:v>
      </x:c>
      <x:c r="M732" s="9" t="str">
        <x:v>First-person puzzle adventure</x:v>
      </x:c>
      <x:c r="N732" s="9" t="str">
        <x:v>Live-action + pre-rendered CG</x:v>
      </x:c>
      <x:c r="O732" s="9" t="n">
        <x:v>4</x:v>
      </x:c>
      <x:c r="P732" s="9" t="str">
        <x:v>Pre-rendered CG</x:v>
      </x:c>
      <x:c r="Q732" s="9" t="str">
        <x:v>Released</x:v>
      </x:c>
      <x:c r="R732" s="9" t="str">
        <x:v>Original production</x:v>
      </x:c>
      <x:c r="S732" s="9" t="str">
        <x:v>Windows</x:v>
      </x:c>
      <x:c r="T732" s="9" t="str">
        <x:v>—  (performers not credited on Wikipedia; verify)</x:v>
      </x:c>
      <x:c r="U732" s="9" t="n">
        <x:v>5</x:v>
      </x:c>
      <x:c r="V732" s="9" t="str">
        <x:v>Yes</x:v>
      </x:c>
      <x:c r="W732" s="9" t="str">
        <x:v>Mouse</x:v>
      </x:c>
      <x:c r="X732" s="9" t="str">
        <x:v>Low</x:v>
      </x:c>
      <x:c r="Y732" s="9" t="str"/>
      <x:c r="Z732" s="9" t="str">
        <x:v>10–15 hr</x:v>
      </x:c>
      <x:c r="AA732" s="9" t="str">
        <x:v>A $4 million surreal Myst-like set inside a satellite's dream, with TV-headed robots and live-action bookends.</x:v>
      </x:c>
      <x:c r="AB732" s="9" t="str">
        <x:v>None known</x:v>
      </x:c>
      <x:c r="AC732" s="9" t="str">
        <x:v>Pre-rendered CG transitions plus live-action intro/ending; mTropolis-authored QuickTime (verify)</x:v>
      </x:c>
      <x:c r="AD732" s="9" t="str">
        <x:v>Hard</x:v>
      </x:c>
      <x:c r="AE732" s="9" t="str">
        <x:v>Two endings (verify)</x:v>
      </x:c>
      <x:c r="AF732" s="9" t="str">
        <x:v>Its 'Egg Shattering Man' TV ad won three Gold Clios.</x:v>
      </x:c>
      <x:c r="AG732" s="9" t="str">
        <x:v>5-CD Mac release (May 1997); Mac/PC hybrid — verify</x:v>
      </x:c>
      <x:c r="AH732" s="9" t="str">
        <x:v>Yes (Steam, ZOOM-Platform — 2023)</x:v>
      </x:c>
      <x:c r="AI732" s="9" t="str">
        <x:v>Easy</x:v>
      </x:c>
      <x:c r="AJ732" s="9" t="str">
        <x:v>Mac discs run in SheepShaver/Basilisk II; ScummVM (mTropolis engine) supports it; 2023 re-release on Steam and ZOOM-Platform.</x:v>
      </x:c>
      <x:c r="AK732" s="9" t="str">
        <x:v>Mac release May 13, 1997.</x:v>
      </x:c>
      <x:c r="AL732" s="10"/>
      <x:c r="AM732" s="10"/>
      <x:c r="AN732" s="10"/>
      <x:c r="AO732" s="9"/>
      <x:c r="AP732" s="11" t="str">
        <x:f>HYPERLINK("https://www.pricecharting.com/search-products?q=Obsidian+macintosh&amp;type=prices","PriceCharting")</x:f>
        <x:v>PriceCharting</x:v>
      </x:c>
      <x:c r="AQ732" s="9"/>
      <x:c r="AR732" s="9"/>
      <x:c r="AS732" s="9"/>
      <x:c r="AT732" s="9"/>
      <x:c r="AU732" s="9" t="str">
        <x:v>No market</x:v>
      </x:c>
      <x:c r="AV732" s="9" t="str">
        <x:v>Not listed on PriceCharting, whose Macintosh console has only about 110 items (searched 2026-10-25). The PC version is on Steam ($9.99).</x:v>
      </x:c>
      <x:c r="AW732" s="9"/>
      <x:c r="AX732" s="9"/>
      <x:c r="AY732" s="9" t="str">
        <x:v>77%</x:v>
      </x:c>
      <x:c r="AZ732" s="9"/>
      <x:c r="BA732" s="11" t="str">
        <x:f>HYPERLINK("https://www.mobygames.com/search/?q=Obsidian+1997","MobyGames")</x:f>
        <x:v>MobyGames</x:v>
      </x:c>
      <x:c r="BB732" s="9"/>
      <x:c r="BC732" s="9"/>
      <x:c r="BD732" s="9"/>
      <x:c r="BE732" s="11" t="str">
        <x:f>HYPERLINK("https://en.wikipedia.org/wiki/Obsidian_(1997_video_game)","Wikipedia")</x:f>
        <x:v>Wikipedia</x:v>
      </x:c>
      <x:c r="BF732" s="11" t="str">
        <x:f>HYPERLINK("https://backloggd.com/search/games/Obsidian/","Backloggd")</x:f>
        <x:v>Backloggd</x:v>
      </x:c>
      <x:c r="BG732" s="9"/>
      <x:c r="BH732" s="9"/>
      <x:c r="BI732" s="12" t="str">
        <x:v>No</x:v>
      </x:c>
      <x:c r="BJ732" s="12" t="str"/>
      <x:c r="BK732" s="12" t="str">
        <x:v>No</x:v>
      </x:c>
      <x:c r="BL732" s="12" t="str"/>
      <x:c r="BM732" s="12" t="str"/>
      <x:c r="BN732" s="12" t="str"/>
      <x:c r="BO732" s="12" t="str"/>
      <x:c r="BP732" s="12" t="str"/>
      <x:c r="BQ732" s="12" t="str"/>
    </x:row>
    <x:row r="733">
      <x:c r="A733" s="9" t="str">
        <x:v>mac-27</x:v>
      </x:c>
      <x:c r="B733" s="9" t="str">
        <x:v>the-dark-eye</x:v>
      </x:c>
      <x:c r="C733" s="9" t="str">
        <x:v>Macintosh</x:v>
      </x:c>
      <x:c r="D733" s="9" t="str">
        <x:v>The Dark Eye</x:v>
      </x:c>
      <x:c r="E733" s="9" t="str"/>
      <x:c r="F733" s="9" t="str">
        <x:v>Inscape</x:v>
      </x:c>
      <x:c r="G733" s="9" t="str">
        <x:v>Warner Interactive Entertainment</x:v>
      </x:c>
      <x:c r="H733" s="9" t="n">
        <x:v>1995</x:v>
      </x:c>
      <x:c r="I733" s="9" t="str">
        <x:v>Yes</x:v>
      </x:c>
      <x:c r="J733" s="9" t="str">
        <x:v>No</x:v>
      </x:c>
      <x:c r="K733" s="9" t="str">
        <x:v>No</x:v>
      </x:c>
      <x:c r="L733" s="9" t="str">
        <x:v>No</x:v>
      </x:c>
      <x:c r="M733" s="9" t="str">
        <x:v>Horror adventure</x:v>
      </x:c>
      <x:c r="N733" s="9" t="str">
        <x:v>Pre-rendered CG</x:v>
      </x:c>
      <x:c r="O733" s="9" t="n">
        <x:v>5</x:v>
      </x:c>
      <x:c r="P733" s="9" t="str">
        <x:v>FMV adventure</x:v>
      </x:c>
      <x:c r="Q733" s="9" t="str">
        <x:v>Released</x:v>
      </x:c>
      <x:c r="R733" s="9" t="str">
        <x:v>Original production (Edgar Allan Poe stories)</x:v>
      </x:c>
      <x:c r="S733" s="9" t="str">
        <x:v>Windows</x:v>
      </x:c>
      <x:c r="T733" s="9" t="str">
        <x:v>William S. Burroughs (voice of Edwin; narrator)</x:v>
      </x:c>
      <x:c r="U733" s="9" t="n">
        <x:v>1</x:v>
      </x:c>
      <x:c r="V733" s="9" t="str">
        <x:v>Yes</x:v>
      </x:c>
      <x:c r="W733" s="9" t="str">
        <x:v>Mouse</x:v>
      </x:c>
      <x:c r="X733" s="9" t="str">
        <x:v>Low</x:v>
      </x:c>
      <x:c r="Y733" s="9" t="str"/>
      <x:c r="Z733" s="9" t="str">
        <x:v>2–4 hr</x:v>
      </x:c>
      <x:c r="AA733" s="9" t="str">
        <x:v>Edgar Allan Poe stories acted out by distorted clay-faced puppets, with William S. Burroughs reading Poe.</x:v>
      </x:c>
      <x:c r="AB733" s="9" t="str">
        <x:v>None known</x:v>
      </x:c>
      <x:c r="AC733" s="9" t="str">
        <x:v>QuickTime animation of clay-modelled characters; small window (verify)</x:v>
      </x:c>
      <x:c r="AD733" s="9" t="str">
        <x:v>Easy; exploration-driven</x:v>
      </x:c>
      <x:c r="AE733" s="9" t="str">
        <x:v>Linear, with alternating perpetrator/victim perspectives</x:v>
      </x:c>
      <x:c r="AF733" s="9" t="str">
        <x:v>Bruce Heavin made the cover art and character designs; music by Thomas Dolby among others.</x:v>
      </x:c>
      <x:c r="AG733" s="9" t="str">
        <x:v>Hybrid Mac/PC disc (verify)</x:v>
      </x:c>
      <x:c r="AH733" s="9" t="str">
        <x:v>Yes (Steam 2026 as Edgar Allan Poe's Interactive Horror: 1995 Edition — announced)</x:v>
      </x:c>
      <x:c r="AI733" s="9" t="str">
        <x:v>Easy</x:v>
      </x:c>
      <x:c r="AJ733" s="9" t="str">
        <x:v>Mac disc runs in Basilisk II/SheepShaver; ScummVM (mTropolis) supports it since 2.8.0.</x:v>
      </x:c>
      <x:c r="AK733" s="9" t="str">
        <x:v>Steam re-release announced Jan 2026; confirm availability.</x:v>
      </x:c>
      <x:c r="AL733" s="10"/>
      <x:c r="AM733" s="10"/>
      <x:c r="AN733" s="10"/>
      <x:c r="AO733" s="9"/>
      <x:c r="AP733" s="11" t="str">
        <x:f>HYPERLINK("https://www.pricecharting.com/search-products?q=The+Dark+Eye+macintosh&amp;type=prices","PriceCharting")</x:f>
        <x:v>PriceCharting</x:v>
      </x:c>
      <x:c r="AQ733" s="9"/>
      <x:c r="AR733" s="9"/>
      <x:c r="AS733" s="9"/>
      <x:c r="AT733" s="9"/>
      <x:c r="AU733" s="9" t="str">
        <x:v>No market</x:v>
      </x:c>
      <x:c r="AV733" s="9" t="str">
        <x:v>Not listed on PriceCharting, whose Macintosh console has only about 110 items (searched 2026-10-25).</x:v>
      </x:c>
      <x:c r="AW733" s="9"/>
      <x:c r="AX733" s="9"/>
      <x:c r="AY733" s="9"/>
      <x:c r="AZ733" s="9" t="str">
        <x:v>4.7</x:v>
      </x:c>
      <x:c r="BA733" s="11" t="str">
        <x:f>HYPERLINK("https://www.mobygames.com/search/?q=The+Dark+Eye","MobyGames")</x:f>
        <x:v>MobyGames</x:v>
      </x:c>
      <x:c r="BB733" s="9"/>
      <x:c r="BC733" s="9"/>
      <x:c r="BD733" s="9"/>
      <x:c r="BE733" s="11" t="str">
        <x:f>HYPERLINK("https://en.wikipedia.org/wiki/The_Dark_Eye_(video_game)","Wikipedia")</x:f>
        <x:v>Wikipedia</x:v>
      </x:c>
      <x:c r="BF733" s="11" t="str">
        <x:f>HYPERLINK("https://backloggd.com/search/games/The%20Dark%20Eye/","Backloggd")</x:f>
        <x:v>Backloggd</x:v>
      </x:c>
      <x:c r="BG733" s="9"/>
      <x:c r="BH733" s="9"/>
      <x:c r="BI733" s="12" t="str">
        <x:v>No</x:v>
      </x:c>
      <x:c r="BJ733" s="12" t="str"/>
      <x:c r="BK733" s="12" t="str">
        <x:v>No</x:v>
      </x:c>
      <x:c r="BL733" s="12" t="str"/>
      <x:c r="BM733" s="12" t="str"/>
      <x:c r="BN733" s="12" t="str"/>
      <x:c r="BO733" s="12" t="str"/>
      <x:c r="BP733" s="12" t="str"/>
      <x:c r="BQ733" s="12" t="str"/>
    </x:row>
    <x:row r="734">
      <x:c r="A734" s="9" t="str">
        <x:v>mac-28</x:v>
      </x:c>
      <x:c r="B734" s="9" t="str">
        <x:v>bad-mojo</x:v>
      </x:c>
      <x:c r="C734" s="9" t="str">
        <x:v>Macintosh</x:v>
      </x:c>
      <x:c r="D734" s="9" t="str">
        <x:v>Bad Mojo</x:v>
      </x:c>
      <x:c r="E734" s="9" t="str"/>
      <x:c r="F734" s="9" t="str">
        <x:v>Pulse Entertainment</x:v>
      </x:c>
      <x:c r="G734" s="9" t="str">
        <x:v>Acclaim Entertainment</x:v>
      </x:c>
      <x:c r="H734" s="9" t="n">
        <x:v>1996</x:v>
      </x:c>
      <x:c r="I734" s="9" t="str">
        <x:v>Yes</x:v>
      </x:c>
      <x:c r="J734" s="9" t="str">
        <x:v>No</x:v>
      </x:c>
      <x:c r="K734" s="9" t="str">
        <x:v>Yes</x:v>
      </x:c>
      <x:c r="L734" s="9" t="str">
        <x:v>No</x:v>
      </x:c>
      <x:c r="M734" s="9" t="str">
        <x:v>Adventure</x:v>
      </x:c>
      <x:c r="N734" s="9" t="str">
        <x:v>Live-action + pre-rendered CG</x:v>
      </x:c>
      <x:c r="O734" s="9" t="n">
        <x:v>5</x:v>
      </x:c>
      <x:c r="P734" s="9" t="str">
        <x:v>FMV adventure</x:v>
      </x:c>
      <x:c r="Q734" s="9" t="str">
        <x:v>Released</x:v>
      </x:c>
      <x:c r="R734" s="9" t="str">
        <x:v>Original production</x:v>
      </x:c>
      <x:c r="S734" s="9" t="str">
        <x:v>Windows</x:v>
      </x:c>
      <x:c r="T734" s="9" t="str">
        <x:v>Unknown — verify</x:v>
      </x:c>
      <x:c r="U734" s="9" t="n">
        <x:v>1</x:v>
      </x:c>
      <x:c r="V734" s="9" t="str">
        <x:v>Yes</x:v>
      </x:c>
      <x:c r="W734" s="9" t="str">
        <x:v>Mouse</x:v>
      </x:c>
      <x:c r="X734" s="9" t="str">
        <x:v>Low</x:v>
      </x:c>
      <x:c r="Y734" s="9" t="str"/>
      <x:c r="Z734" s="9" t="str">
        <x:v>3–5 hr</x:v>
      </x:c>
      <x:c r="AA734" s="9" t="str">
        <x:v>You are a cockroach: a Kafka-inspired gross-out adventure with live-action characters crawling with real bugs.</x:v>
      </x:c>
      <x:c r="AB734" s="9" t="str">
        <x:v>None known</x:v>
      </x:c>
      <x:c r="AC734" s="9" t="str">
        <x:v>Live-action cutscenes plus overhead photographic scenes the roach crawls through (verify Mac quality)</x:v>
      </x:c>
      <x:c r="AD734" s="9" t="str">
        <x:v>Moderate; trial-and-error deaths</x:v>
      </x:c>
      <x:c r="AE734" s="9" t="str">
        <x:v>Four endings</x:v>
      </x:c>
      <x:c r="AF734" s="9" t="str">
        <x:v>Roger Samms is an imperfect anagram of Gregor Samsa; codenamed the 'Booger Project'.</x:v>
      </x:c>
      <x:c r="AG734" s="9" t="str">
        <x:v>Original Mac/Windows release 1996 (hybrid — verify); Bad Mojo Redux (2004, Got Game; Mac — verify)</x:v>
      </x:c>
      <x:c r="AH734" s="9" t="str">
        <x:v>Yes (Bad Mojo Redux on Steam/GOG)</x:v>
      </x:c>
      <x:c r="AI734" s="9" t="str">
        <x:v>Easy</x:v>
      </x:c>
      <x:c r="AJ734" s="9" t="str">
        <x:v>Mac disc runs in SheepShaver/Basilisk II; Redux sold on Steam and GOG.</x:v>
      </x:c>
      <x:c r="AK734" s="9" t="str">
        <x:v>Inside Mac Games nominated it for best adventure of 1996.</x:v>
      </x:c>
      <x:c r="AL734" s="10"/>
      <x:c r="AM734" s="10"/>
      <x:c r="AN734" s="10"/>
      <x:c r="AO734" s="9"/>
      <x:c r="AP734" s="11" t="str">
        <x:f>HYPERLINK("https://www.pricecharting.com/search-products?q=Bad+Mojo+macintosh&amp;type=prices","PriceCharting")</x:f>
        <x:v>PriceCharting</x:v>
      </x:c>
      <x:c r="AQ734" s="9"/>
      <x:c r="AR734" s="9"/>
      <x:c r="AS734" s="9"/>
      <x:c r="AT734" s="9"/>
      <x:c r="AU734" s="9" t="str">
        <x:v>No market</x:v>
      </x:c>
      <x:c r="AV734" s="9" t="str">
        <x:v>Not listed on PriceCharting, whose Macintosh console has only about 110 items (searched 2026-10-25). The PC version is on Steam ($5.99).</x:v>
      </x:c>
      <x:c r="AW734" s="9"/>
      <x:c r="AX734" s="9"/>
      <x:c r="AY734" s="9" t="str">
        <x:v>85%</x:v>
      </x:c>
      <x:c r="AZ734" s="9" t="str">
        <x:v>4.5</x:v>
      </x:c>
      <x:c r="BA734" s="11" t="str">
        <x:f>HYPERLINK("https://www.mobygames.com/search/?q=Bad+Mojo","MobyGames")</x:f>
        <x:v>MobyGames</x:v>
      </x:c>
      <x:c r="BB734" s="9"/>
      <x:c r="BC734" s="9"/>
      <x:c r="BD734" s="9"/>
      <x:c r="BE734" s="11" t="str">
        <x:f>HYPERLINK("https://en.wikipedia.org/wiki/Bad_Mojo","Wikipedia")</x:f>
        <x:v>Wikipedia</x:v>
      </x:c>
      <x:c r="BF734" s="11" t="str">
        <x:f>HYPERLINK("https://backloggd.com/search/games/Bad%20Mojo/","Backloggd")</x:f>
        <x:v>Backloggd</x:v>
      </x:c>
      <x:c r="BG734" s="9"/>
      <x:c r="BH734" s="9"/>
      <x:c r="BI734" s="12" t="str">
        <x:v>No</x:v>
      </x:c>
      <x:c r="BJ734" s="12" t="str"/>
      <x:c r="BK734" s="12" t="str">
        <x:v>No</x:v>
      </x:c>
      <x:c r="BL734" s="12" t="str"/>
      <x:c r="BM734" s="12" t="str"/>
      <x:c r="BN734" s="12" t="str"/>
      <x:c r="BO734" s="12" t="str"/>
      <x:c r="BP734" s="12" t="str"/>
      <x:c r="BQ734" s="12" t="str"/>
    </x:row>
    <x:row r="735">
      <x:c r="A735" s="9" t="str">
        <x:v>mac-29</x:v>
      </x:c>
      <x:c r="B735" s="9" t="str">
        <x:v>lighthouse-the-dark-being</x:v>
      </x:c>
      <x:c r="C735" s="9" t="str">
        <x:v>Macintosh</x:v>
      </x:c>
      <x:c r="D735" s="9" t="str">
        <x:v>Lighthouse: The Dark Being</x:v>
      </x:c>
      <x:c r="E735" s="9" t="str">
        <x:v>Lighthouse</x:v>
      </x:c>
      <x:c r="F735" s="9" t="str">
        <x:v>Sierra On-Line</x:v>
      </x:c>
      <x:c r="G735" s="9" t="str">
        <x:v>Sierra On-Line</x:v>
      </x:c>
      <x:c r="H735" s="9" t="n">
        <x:v>1996</x:v>
      </x:c>
      <x:c r="I735" s="9" t="str">
        <x:v>Yes</x:v>
      </x:c>
      <x:c r="J735" s="9" t="str">
        <x:v>No</x:v>
      </x:c>
      <x:c r="K735" s="9" t="str">
        <x:v>No</x:v>
      </x:c>
      <x:c r="L735" s="9" t="str">
        <x:v>No</x:v>
      </x:c>
      <x:c r="M735" s="9" t="str">
        <x:v>First-person puzzle adventure</x:v>
      </x:c>
      <x:c r="N735" s="9" t="str">
        <x:v>Live-action + pre-rendered CG</x:v>
      </x:c>
      <x:c r="O735" s="9" t="n">
        <x:v>3</x:v>
      </x:c>
      <x:c r="P735" s="9" t="str">
        <x:v>Cutscenes only</x:v>
      </x:c>
      <x:c r="Q735" s="9" t="str">
        <x:v>Released</x:v>
      </x:c>
      <x:c r="R735" s="9" t="str">
        <x:v>Original production</x:v>
      </x:c>
      <x:c r="S735" s="9" t="str">
        <x:v>MS-DOS, Windows</x:v>
      </x:c>
      <x:c r="T735" s="9" t="str">
        <x:v>Unknown — verify</x:v>
      </x:c>
      <x:c r="U735" s="9" t="n">
        <x:v>2</x:v>
      </x:c>
      <x:c r="V735" s="9" t="str">
        <x:v>Yes</x:v>
      </x:c>
      <x:c r="W735" s="9" t="str">
        <x:v>Mouse</x:v>
      </x:c>
      <x:c r="X735" s="9" t="str">
        <x:v>Low</x:v>
      </x:c>
      <x:c r="Y735" s="9" t="str"/>
      <x:c r="Z735" s="9" t="str">
        <x:v>10–15 hr</x:v>
      </x:c>
      <x:c r="AA735" s="9" t="str">
        <x:v>Sierra's answer to Myst: steampunk machines, a parallel world and a baby kidnapped by the Dark Being.</x:v>
      </x:c>
      <x:c r="AB735" s="9" t="str">
        <x:v>None known</x:v>
      </x:c>
      <x:c r="AC735" s="9" t="str">
        <x:v>Short live-action and CG cutscenes in a 640x480 frame (verify)</x:v>
      </x:c>
      <x:c r="AD735" s="9" t="str">
        <x:v>Hard; mechanical puzzles</x:v>
      </x:c>
      <x:c r="AE735" s="9" t="str">
        <x:v>One ending (verify)</x:v>
      </x:c>
      <x:c r="AF735" s="9" t="str">
        <x:v>The only game designed by Sierra art director Jon Bock, pitched by Ken Williams as a Myst clone.</x:v>
      </x:c>
      <x:c r="AG735" s="9" t="str">
        <x:v>Hybrid DOS/Windows/Mac CD (verify)</x:v>
      </x:c>
      <x:c r="AH735" s="9" t="str">
        <x:v>Yes (GOG, Windows)</x:v>
      </x:c>
      <x:c r="AI735" s="9" t="str">
        <x:v>Easy</x:v>
      </x:c>
      <x:c r="AJ735" s="9" t="str">
        <x:v>Mac disc runs in SheepShaver/Basilisk II; ScummVM (SCI32) supports Lighthouse (verify); PC version on GOG.</x:v>
      </x:c>
      <x:c r="AK735" s="9" t="str">
        <x:v>Disc count and hybrid status unconfirmed.</x:v>
      </x:c>
      <x:c r="AL735" s="10"/>
      <x:c r="AM735" s="10"/>
      <x:c r="AN735" s="10"/>
      <x:c r="AO735" s="9"/>
      <x:c r="AP735" s="11" t="str">
        <x:f>HYPERLINK("https://www.pricecharting.com/search-products?q=Lighthouse%3A+The+Dark+Being+macintosh&amp;type=prices","PriceCharting")</x:f>
        <x:v>PriceCharting</x:v>
      </x:c>
      <x:c r="AQ735" s="9"/>
      <x:c r="AR735" s="9"/>
      <x:c r="AS735" s="9"/>
      <x:c r="AT735" s="9"/>
      <x:c r="AU735" s="9" t="str">
        <x:v>No market</x:v>
      </x:c>
      <x:c r="AV735" s="9" t="str">
        <x:v>Not listed on PriceCharting, whose Macintosh console has only about 110 items (searched 2026-10-25). The PC version is on GOG ($5.99).</x:v>
      </x:c>
      <x:c r="AW735" s="9"/>
      <x:c r="AX735" s="9"/>
      <x:c r="AY735" s="9"/>
      <x:c r="AZ735" s="9"/>
      <x:c r="BA735" s="11" t="str">
        <x:f>HYPERLINK("https://www.mobygames.com/game/lighthouse-the-dark-being","MobyGames")</x:f>
        <x:v>MobyGames</x:v>
      </x:c>
      <x:c r="BB735" s="9"/>
      <x:c r="BC735" s="9"/>
      <x:c r="BD735" s="9"/>
      <x:c r="BE735" s="11" t="str">
        <x:f>HYPERLINK("https://en.wikipedia.org/wiki/Lighthouse:_The_Dark_Being","Wikipedia")</x:f>
        <x:v>Wikipedia</x:v>
      </x:c>
      <x:c r="BF735" s="11" t="str">
        <x:f>HYPERLINK("https://backloggd.com/search/games/Lighthouse%3A%20The%20Dark%20Being/","Backloggd")</x:f>
        <x:v>Backloggd</x:v>
      </x:c>
      <x:c r="BG735" s="9"/>
      <x:c r="BH735" s="9"/>
      <x:c r="BI735" s="12" t="str">
        <x:v>No</x:v>
      </x:c>
      <x:c r="BJ735" s="12" t="str"/>
      <x:c r="BK735" s="12" t="str">
        <x:v>No</x:v>
      </x:c>
      <x:c r="BL735" s="12" t="str"/>
      <x:c r="BM735" s="12" t="str"/>
      <x:c r="BN735" s="12" t="str"/>
      <x:c r="BO735" s="12" t="str"/>
      <x:c r="BP735" s="12" t="str"/>
      <x:c r="BQ735" s="12" t="str"/>
    </x:row>
    <x:row r="736">
      <x:c r="A736" s="9" t="str">
        <x:v>mac-30</x:v>
      </x:c>
      <x:c r="B736" s="9" t="str">
        <x:v>shivers</x:v>
      </x:c>
      <x:c r="C736" s="9" t="str">
        <x:v>Macintosh</x:v>
      </x:c>
      <x:c r="D736" s="9" t="str">
        <x:v>Shivers</x:v>
      </x:c>
      <x:c r="E736" s="9" t="str"/>
      <x:c r="F736" s="9" t="str">
        <x:v>Sierra On-Line</x:v>
      </x:c>
      <x:c r="G736" s="9" t="str">
        <x:v>Sierra On-Line</x:v>
      </x:c>
      <x:c r="H736" s="9" t="n">
        <x:v>1996</x:v>
      </x:c>
      <x:c r="I736" s="9" t="str">
        <x:v>Yes</x:v>
      </x:c>
      <x:c r="J736" s="9" t="str">
        <x:v>No</x:v>
      </x:c>
      <x:c r="K736" s="9" t="str">
        <x:v>No</x:v>
      </x:c>
      <x:c r="L736" s="9" t="str">
        <x:v>No</x:v>
      </x:c>
      <x:c r="M736" s="9" t="str">
        <x:v>Horror puzzle adventure</x:v>
      </x:c>
      <x:c r="N736" s="9" t="str">
        <x:v>Live-action + pre-rendered CG</x:v>
      </x:c>
      <x:c r="O736" s="9" t="n">
        <x:v>3</x:v>
      </x:c>
      <x:c r="P736" s="9" t="str">
        <x:v>FMV adventure</x:v>
      </x:c>
      <x:c r="Q736" s="9" t="str">
        <x:v>Released</x:v>
      </x:c>
      <x:c r="R736" s="9" t="str">
        <x:v>PC original (1995)</x:v>
      </x:c>
      <x:c r="S736" s="9" t="str">
        <x:v>Windows</x:v>
      </x:c>
      <x:c r="T736" s="9" t="str">
        <x:v>Rodney Sherwood (announcer voice); other actors uncredited — verify</x:v>
      </x:c>
      <x:c r="U736" s="9" t="n">
        <x:v>1</x:v>
      </x:c>
      <x:c r="V736" s="9" t="str">
        <x:v>Yes</x:v>
      </x:c>
      <x:c r="W736" s="9" t="str">
        <x:v>Mouse</x:v>
      </x:c>
      <x:c r="X736" s="9" t="str">
        <x:v>Low</x:v>
      </x:c>
      <x:c r="Y736" s="9" t="str"/>
      <x:c r="Z736" s="9" t="str">
        <x:v>5–8 hr</x:v>
      </x:c>
      <x:c r="AA736" s="9" t="str">
        <x:v>Locked overnight in Professor Windlenot's haunted museum hunting ten Ixupi spirits, with hammy live-action ghosts.</x:v>
      </x:c>
      <x:c r="AB736" s="9" t="str">
        <x:v>None known</x:v>
      </x:c>
      <x:c r="AC736" s="9" t="str">
        <x:v>Short live-action clips composited into pre-rendered rooms (verify)</x:v>
      </x:c>
      <x:c r="AD736" s="9" t="str">
        <x:v>Moderate; random pot placement each game</x:v>
      </x:c>
      <x:c r="AE736" s="9" t="str">
        <x:v>One ending (verify)</x:v>
      </x:c>
      <x:c r="AF736" s="9" t="str">
        <x:v>Mac version reached stores on May 30, 1996; MacUser gave it 2.5/5.</x:v>
      </x:c>
      <x:c r="AG736" s="9" t="str">
        <x:v>Mac CD release 1996 (hybrid — verify)</x:v>
      </x:c>
      <x:c r="AH736" s="9" t="str">
        <x:v>No (Mac disc not re-released; the PC version is on GOG)</x:v>
      </x:c>
      <x:c r="AI736" s="9" t="str">
        <x:v>Easy</x:v>
      </x:c>
      <x:c r="AJ736" s="9" t="str">
        <x:v>Mac disc runs in SheepShaver/Basilisk II; ScummVM (SCI32) supports Shivers.</x:v>
      </x:c>
      <x:c r="AK736" s="9" t="str">
        <x:v>GameRankings aggregate 72.2% (all platforms).</x:v>
      </x:c>
      <x:c r="AL736" s="10"/>
      <x:c r="AM736" s="10"/>
      <x:c r="AN736" s="10"/>
      <x:c r="AO736" s="9"/>
      <x:c r="AP736" s="11" t="str">
        <x:f>HYPERLINK("https://www.pricecharting.com/search-products?q=Shivers+macintosh&amp;type=prices","PriceCharting")</x:f>
        <x:v>PriceCharting</x:v>
      </x:c>
      <x:c r="AQ736" s="9"/>
      <x:c r="AR736" s="9"/>
      <x:c r="AS736" s="9"/>
      <x:c r="AT736" s="9"/>
      <x:c r="AU736" s="9" t="str">
        <x:v>No market</x:v>
      </x:c>
      <x:c r="AV736" s="9" t="str">
        <x:v>Not listed on PriceCharting, whose Macintosh console has only about 110 items (searched 2026-10-25). The PC version is on GOG ($5.99).</x:v>
      </x:c>
      <x:c r="AW736" s="9"/>
      <x:c r="AX736" s="9"/>
      <x:c r="AY736" s="9"/>
      <x:c r="AZ736" s="9"/>
      <x:c r="BA736" s="11" t="str">
        <x:f>HYPERLINK("https://www.mobygames.com/search/?q=Shivers","MobyGames")</x:f>
        <x:v>MobyGames</x:v>
      </x:c>
      <x:c r="BB736" s="9" t="str">
        <x:v>50%</x:v>
      </x:c>
      <x:c r="BC736" s="9" t="str">
        <x:v>MacUser on Wikipedia, 1 review</x:v>
      </x:c>
      <x:c r="BD736" s="9" t="str">
        <x:f>HYPERLINK("https://en.wikipedia.org/wiki/Shivers_%28video_game%29","Source")</x:f>
        <x:v>Source</x:v>
      </x:c>
      <x:c r="BE736" s="11" t="str">
        <x:f>HYPERLINK("https://en.wikipedia.org/wiki/Shivers_(video_game)","Wikipedia")</x:f>
        <x:v>Wikipedia</x:v>
      </x:c>
      <x:c r="BF736" s="11" t="str">
        <x:f>HYPERLINK("https://backloggd.com/search/games/Shivers/","Backloggd")</x:f>
        <x:v>Backloggd</x:v>
      </x:c>
      <x:c r="BG736" s="9"/>
      <x:c r="BH736" s="9"/>
      <x:c r="BI736" s="12" t="str">
        <x:v>No</x:v>
      </x:c>
      <x:c r="BJ736" s="12" t="str"/>
      <x:c r="BK736" s="12" t="str">
        <x:v>No</x:v>
      </x:c>
      <x:c r="BL736" s="12" t="str"/>
      <x:c r="BM736" s="12" t="str"/>
      <x:c r="BN736" s="12" t="str"/>
      <x:c r="BO736" s="12" t="str"/>
      <x:c r="BP736" s="12" t="str"/>
      <x:c r="BQ736" s="12" t="str"/>
    </x:row>
    <x:row r="737">
      <x:c r="A737" s="9" t="str">
        <x:v>mac-31</x:v>
      </x:c>
      <x:c r="B737" s="9" t="str">
        <x:v>voyeur</x:v>
      </x:c>
      <x:c r="C737" s="9" t="str">
        <x:v>Macintosh</x:v>
      </x:c>
      <x:c r="D737" s="9" t="str">
        <x:v>Voyeur</x:v>
      </x:c>
      <x:c r="E737" s="9" t="str"/>
      <x:c r="F737" s="9" t="str">
        <x:v>Philips POV Entertainment</x:v>
      </x:c>
      <x:c r="G737" s="9" t="str">
        <x:v>MacPlay (NA)</x:v>
      </x:c>
      <x:c r="H737" s="9" t="n">
        <x:v>1994</x:v>
      </x:c>
      <x:c r="I737" s="9" t="str">
        <x:v>Yes</x:v>
      </x:c>
      <x:c r="J737" s="9" t="str">
        <x:v>No</x:v>
      </x:c>
      <x:c r="K737" s="9" t="str">
        <x:v>No</x:v>
      </x:c>
      <x:c r="L737" s="9" t="str">
        <x:v>No</x:v>
      </x:c>
      <x:c r="M737" s="9" t="str">
        <x:v>Voyeur thriller / interactive movie</x:v>
      </x:c>
      <x:c r="N737" s="9" t="str">
        <x:v>Live-action</x:v>
      </x:c>
      <x:c r="O737" s="9" t="n">
        <x:v>9</x:v>
      </x:c>
      <x:c r="P737" s="9" t="str">
        <x:v>Interactive movie</x:v>
      </x:c>
      <x:c r="Q737" s="9" t="str">
        <x:v>Released</x:v>
      </x:c>
      <x:c r="R737" s="9" t="str">
        <x:v>CD-i original (1993)</x:v>
      </x:c>
      <x:c r="S737" s="9" t="str">
        <x:v>CD-i, MS-DOS</x:v>
      </x:c>
      <x:c r="T737" s="9" t="str">
        <x:v>Robert Culp (Reed Hawke)</x:v>
      </x:c>
      <x:c r="U737" s="9" t="n">
        <x:v>1</x:v>
      </x:c>
      <x:c r="V737" s="9" t="str">
        <x:v>Yes</x:v>
      </x:c>
      <x:c r="W737" s="9" t="str">
        <x:v>Mouse</x:v>
      </x:c>
      <x:c r="X737" s="9" t="str">
        <x:v>Low</x:v>
      </x:c>
      <x:c r="Y737" s="9" t="str"/>
      <x:c r="Z737" s="9" t="str">
        <x:v>1 hr per run; replayable</x:v>
      </x:c>
      <x:c r="AA737" s="9" t="str">
        <x:v>Spy on a presidential candidate's family through binoculars in the game that made the cover of Time.</x:v>
      </x:c>
      <x:c r="AB737" s="9" t="str">
        <x:v>None known</x:v>
      </x:c>
      <x:c r="AC737" s="9" t="str">
        <x:v>Windowed QuickTime-era video, low resolution (verify)</x:v>
      </x:c>
      <x:c r="AD737" s="9" t="str">
        <x:v>Tricky: you must catch the right scenes and gather evidence before time runs out.</x:v>
      </x:c>
      <x:c r="AE737" s="9" t="str">
        <x:v>Guilty party chosen at random each game; multiple outcomes.</x:v>
      </x:c>
      <x:c r="AF737" s="9" t="str">
        <x:v>Cost about $750,000 to produce; simulated sex scenes were a selling point. Next Generation gave the Mac version 2/5.</x:v>
      </x:c>
      <x:c r="AG737" s="9" t="str">
        <x:v>Mac release by MacPlay; hybrid Mac/PC disc unconfirmed (verify)</x:v>
      </x:c>
      <x:c r="AH737" s="9" t="str">
        <x:v>No (this release); DOS edition sold on Steam by Pixel Games UK.</x:v>
      </x:c>
      <x:c r="AI737" s="9" t="str">
        <x:v>Easy</x:v>
      </x:c>
      <x:c r="AJ737" s="9" t="str">
        <x:v>Original Macintosh disc on suitable classic Mac hardware; Steam sells the DOS edition for Windows.</x:v>
      </x:c>
      <x:c r="AK737" s="9" t="str">
        <x:v>Mature content. Mac year from Wikipedia (1994).</x:v>
      </x:c>
      <x:c r="AL737" s="10"/>
      <x:c r="AM737" s="10"/>
      <x:c r="AN737" s="10"/>
      <x:c r="AO737" s="9"/>
      <x:c r="AP737" s="11" t="str">
        <x:f>HYPERLINK("https://www.pricecharting.com/search-products?q=Voyeur+macintosh&amp;type=prices","PriceCharting")</x:f>
        <x:v>PriceCharting</x:v>
      </x:c>
      <x:c r="AQ737" s="9"/>
      <x:c r="AR737" s="9"/>
      <x:c r="AS737" s="9"/>
      <x:c r="AT737" s="9"/>
      <x:c r="AU737" s="9" t="str">
        <x:v>No market</x:v>
      </x:c>
      <x:c r="AV737" s="9" t="str">
        <x:v>Not listed on PriceCharting, whose Macintosh console has only about 110 items (searched 2026-10-25). The PC version is on Steam ($8.99).</x:v>
      </x:c>
      <x:c r="AW737" s="9"/>
      <x:c r="AX737" s="9"/>
      <x:c r="AY737" s="9"/>
      <x:c r="AZ737" s="9"/>
      <x:c r="BA737" s="11" t="str">
        <x:f>HYPERLINK("https://www.mobygames.com/search/?q=Voyeur","MobyGames")</x:f>
        <x:v>MobyGames</x:v>
      </x:c>
      <x:c r="BB737" s="9"/>
      <x:c r="BC737" s="9"/>
      <x:c r="BD737" s="9"/>
      <x:c r="BE737" s="11" t="str">
        <x:f>HYPERLINK("https://en.wikipedia.org/wiki/Voyeur_(video_game)","Wikipedia")</x:f>
        <x:v>Wikipedia</x:v>
      </x:c>
      <x:c r="BF737" s="11" t="str">
        <x:f>HYPERLINK("https://backloggd.com/search/games/Voyeur/","Backloggd")</x:f>
        <x:v>Backloggd</x:v>
      </x:c>
      <x:c r="BG737" s="9"/>
      <x:c r="BH737" s="9"/>
      <x:c r="BI737" s="12" t="str">
        <x:v>No</x:v>
      </x:c>
      <x:c r="BJ737" s="12" t="str"/>
      <x:c r="BK737" s="12" t="str">
        <x:v>No</x:v>
      </x:c>
      <x:c r="BL737" s="12" t="str"/>
      <x:c r="BM737" s="12" t="str"/>
      <x:c r="BN737" s="12" t="str"/>
      <x:c r="BO737" s="12" t="str"/>
      <x:c r="BP737" s="12" t="str"/>
      <x:c r="BQ737" s="12" t="str"/>
    </x:row>
    <x:row r="738">
      <x:c r="A738" s="9" t="str">
        <x:v>mac-32</x:v>
      </x:c>
      <x:c r="B738" s="9" t="str">
        <x:v>voyeur-ii</x:v>
      </x:c>
      <x:c r="C738" s="9" t="str">
        <x:v>Macintosh</x:v>
      </x:c>
      <x:c r="D738" s="9" t="str">
        <x:v>Voyeur II</x:v>
      </x:c>
      <x:c r="E738" s="9" t="str"/>
      <x:c r="F738" s="9" t="str">
        <x:v>InterWeave Entertainment</x:v>
      </x:c>
      <x:c r="G738" s="9" t="str">
        <x:v>Philips Media (NA)</x:v>
      </x:c>
      <x:c r="H738" s="9" t="n">
        <x:v>1996</x:v>
      </x:c>
      <x:c r="I738" s="9" t="str">
        <x:v>Yes</x:v>
      </x:c>
      <x:c r="J738" s="9" t="str">
        <x:v>No</x:v>
      </x:c>
      <x:c r="K738" s="9" t="str">
        <x:v>No</x:v>
      </x:c>
      <x:c r="L738" s="9" t="str">
        <x:v>No</x:v>
      </x:c>
      <x:c r="M738" s="9" t="str">
        <x:v>Voyeur thriller / interactive movie</x:v>
      </x:c>
      <x:c r="N738" s="9" t="str">
        <x:v>Live-action</x:v>
      </x:c>
      <x:c r="O738" s="9" t="n">
        <x:v>9</x:v>
      </x:c>
      <x:c r="P738" s="9" t="str">
        <x:v>Interactive movie</x:v>
      </x:c>
      <x:c r="Q738" s="9" t="str">
        <x:v>Released</x:v>
      </x:c>
      <x:c r="R738" s="9" t="str">
        <x:v>Original production</x:v>
      </x:c>
      <x:c r="S738" s="9" t="str">
        <x:v>MS-DOS, Windows 3.1 (CD-i beta found)</x:v>
      </x:c>
      <x:c r="T738" s="9" t="str">
        <x:v>Jennifer O'Neill, Dennis Weaver, David Groh</x:v>
      </x:c>
      <x:c r="U738" s="9" t="n">
        <x:v>1</x:v>
      </x:c>
      <x:c r="V738" s="9" t="str">
        <x:v>No</x:v>
      </x:c>
      <x:c r="W738" s="9" t="str">
        <x:v>Mouse</x:v>
      </x:c>
      <x:c r="X738" s="9" t="str">
        <x:v>Low</x:v>
      </x:c>
      <x:c r="Y738" s="9" t="str"/>
      <x:c r="Z738" s="9" t="str">
        <x:v>1 hr per run; replayable</x:v>
      </x:c>
      <x:c r="AA738" s="9" t="str">
        <x:v>Hidden cameras in a mountain cabin, Dennis Weaver as sheriff, and a will-reading murder plot.</x:v>
      </x:c>
      <x:c r="AB738" s="9" t="str">
        <x:v>None known</x:v>
      </x:c>
      <x:c r="AC738" s="9" t="str">
        <x:v>Unknown — verify</x:v>
      </x:c>
      <x:c r="AD738" s="9" t="str">
        <x:v>No saves; the whole run plays in one sitting.</x:v>
      </x:c>
      <x:c r="AE738" s="9" t="str">
        <x:v>Multiple endings depending on choices; meant to be replayed.</x:v>
      </x:c>
      <x:c r="AF738" s="9" t="str">
        <x:v>Plays much like Night Trap; a finished CD-i beta of the sequel later surfaced.</x:v>
      </x:c>
      <x:c r="AG738" s="9" t="str">
        <x:v>Mac CD-ROM, Philips Interactive Media 1996 (USA/Canada); hybrid status unconfirmed (verify)</x:v>
      </x:c>
      <x:c r="AH738" s="9" t="str">
        <x:v>No</x:v>
      </x:c>
      <x:c r="AI738" s="9" t="str">
        <x:v>Easy</x:v>
      </x:c>
      <x:c r="AJ738" s="9" t="str">
        <x:v>Original disc on a 68k/PowerPC Mac, or SheepShaver/Basilisk II emulation.</x:v>
      </x:c>
      <x:c r="AK738" s="9" t="str">
        <x:v>Mature content.</x:v>
      </x:c>
      <x:c r="AL738" s="10"/>
      <x:c r="AM738" s="10"/>
      <x:c r="AN738" s="10"/>
      <x:c r="AO738" s="9"/>
      <x:c r="AP738" s="11" t="str">
        <x:f>HYPERLINK("https://www.pricecharting.com/search-products?q=Voyeur+II+macintosh&amp;type=prices","PriceCharting")</x:f>
        <x:v>PriceCharting</x:v>
      </x:c>
      <x:c r="AQ738" s="9"/>
      <x:c r="AR738" s="9"/>
      <x:c r="AS738" s="9"/>
      <x:c r="AT738" s="9"/>
      <x:c r="AU738" s="9" t="str">
        <x:v>No market</x:v>
      </x:c>
      <x:c r="AV738" s="9" t="str">
        <x:v>Not listed on PriceCharting, whose Macintosh console has only about 110 items (searched 2026-10-25).</x:v>
      </x:c>
      <x:c r="AW738" s="9"/>
      <x:c r="AX738" s="9"/>
      <x:c r="AY738" s="9"/>
      <x:c r="AZ738" s="9" t="str">
        <x:v>3.0</x:v>
      </x:c>
      <x:c r="BA738" s="11" t="str">
        <x:f>HYPERLINK("https://www.mobygames.com/search/?q=Voyeur+II","MobyGames")</x:f>
        <x:v>MobyGames</x:v>
      </x:c>
      <x:c r="BB738" s="9"/>
      <x:c r="BC738" s="9"/>
      <x:c r="BD738" s="9"/>
      <x:c r="BE738" s="11" t="str">
        <x:f>HYPERLINK("https://en.wikipedia.org/wiki/Voyeur_II","Wikipedia")</x:f>
        <x:v>Wikipedia</x:v>
      </x:c>
      <x:c r="BF738" s="11" t="str">
        <x:f>HYPERLINK("https://backloggd.com/search/games/Voyeur%20II/","Backloggd")</x:f>
        <x:v>Backloggd</x:v>
      </x:c>
      <x:c r="BG738" s="9"/>
      <x:c r="BH738" s="9"/>
      <x:c r="BI738" s="12" t="str">
        <x:v>No</x:v>
      </x:c>
      <x:c r="BJ738" s="12" t="str"/>
      <x:c r="BK738" s="12" t="str">
        <x:v>No</x:v>
      </x:c>
      <x:c r="BL738" s="12" t="str"/>
      <x:c r="BM738" s="12" t="str"/>
      <x:c r="BN738" s="12" t="str"/>
      <x:c r="BO738" s="12" t="str"/>
      <x:c r="BP738" s="12" t="str"/>
      <x:c r="BQ738" s="12" t="str"/>
    </x:row>
    <x:row r="739">
      <x:c r="A739" s="9" t="str">
        <x:v>mac-33</x:v>
      </x:c>
      <x:c r="B739" s="9" t="str">
        <x:v>johnny-mnemonic</x:v>
      </x:c>
      <x:c r="C739" s="9" t="str">
        <x:v>Macintosh</x:v>
      </x:c>
      <x:c r="D739" s="9" t="str">
        <x:v>Johnny Mnemonic</x:v>
      </x:c>
      <x:c r="E739" s="9" t="str"/>
      <x:c r="F739" s="9" t="str">
        <x:v>Propaganda Code</x:v>
      </x:c>
      <x:c r="G739" s="9" t="str">
        <x:v>Sony Imagesoft (NA)</x:v>
      </x:c>
      <x:c r="H739" s="9" t="n">
        <x:v>1995</x:v>
      </x:c>
      <x:c r="I739" s="9" t="str">
        <x:v>Yes</x:v>
      </x:c>
      <x:c r="J739" s="9" t="str">
        <x:v>No</x:v>
      </x:c>
      <x:c r="K739" s="9" t="str">
        <x:v>No</x:v>
      </x:c>
      <x:c r="L739" s="9" t="str">
        <x:v>No</x:v>
      </x:c>
      <x:c r="M739" s="9" t="str">
        <x:v>FMV adventure</x:v>
      </x:c>
      <x:c r="N739" s="9" t="str">
        <x:v>Live-action</x:v>
      </x:c>
      <x:c r="O739" s="9" t="n">
        <x:v>10</x:v>
      </x:c>
      <x:c r="P739" s="9" t="str">
        <x:v>FMV adventure</x:v>
      </x:c>
      <x:c r="Q739" s="9" t="str">
        <x:v>Released</x:v>
      </x:c>
      <x:c r="R739" s="9" t="str">
        <x:v>Film license (Johnny Mnemonic, 1995)</x:v>
      </x:c>
      <x:c r="S739" s="9" t="str">
        <x:v>Windows (PlayStation and Sega CD versions cancelled)</x:v>
      </x:c>
      <x:c r="T739" s="9" t="str">
        <x:v>Christopher Gartin, Isaac Hayes, Kurt Rambis, Julie Strain, Doug Llewelyn</x:v>
      </x:c>
      <x:c r="U739" s="9" t="n">
        <x:v>2</x:v>
      </x:c>
      <x:c r="V739" s="9" t="str">
        <x:v>Yes</x:v>
      </x:c>
      <x:c r="W739" s="9" t="str">
        <x:v>Mouse</x:v>
      </x:c>
      <x:c r="X739" s="9" t="str">
        <x:v>Med</x:v>
      </x:c>
      <x:c r="Y739" s="9" t="str">
        <x:v>Devo-composed score; film-licensed branding</x:v>
      </x:c>
      <x:c r="Z739" s="9" t="str">
        <x:v>2–3 hr</x:v>
      </x:c>
      <x:c r="AA739" s="9" t="str">
        <x:v>A no-interface 'CineACTIVE' movie where the screen's aspect ratio tells you when to act.</x:v>
      </x:c>
      <x:c r="AB739" s="9" t="str">
        <x:v>Hidden level select exists in the Mac version per TCRF; inputs not confirmed (verify)</x:v>
      </x:c>
      <x:c r="AC739" s="9" t="str">
        <x:v>Full-screen letterboxed video, CineACTIVE engine</x:v>
      </x:c>
      <x:c r="AD739" s="9" t="str">
        <x:v>Hard: one-chance timing puts it close to Dragon's Lair.</x:v>
      </x:c>
      <x:c r="AE739" s="9" t="str">
        <x:v>Death branches; one main ending (verify).</x:v>
      </x:c>
      <x:c r="AF739" s="9" t="str">
        <x:v>Music by Devo; the only game from Propaganda Films' game division. William Gibson promoted it online.</x:v>
      </x:c>
      <x:c r="AG739" s="9" t="str">
        <x:v>Mac and Windows releases; disc count from TCRF's 'Disc 2' menu button.</x:v>
      </x:c>
      <x:c r="AH739" s="9" t="str">
        <x:v>No</x:v>
      </x:c>
      <x:c r="AI739" s="9" t="str">
        <x:v>Easy</x:v>
      </x:c>
      <x:c r="AJ739" s="9" t="str">
        <x:v>Original disc on a 68k/PowerPC Mac, or SheepShaver/Basilisk II emulation.</x:v>
      </x:c>
      <x:c r="AK739" s="9" t="str">
        <x:v>MacUser gave it 1/5. TCRF documents debug dialogs in the Mac build.</x:v>
      </x:c>
      <x:c r="AL739" s="10"/>
      <x:c r="AM739" s="10"/>
      <x:c r="AN739" s="10"/>
      <x:c r="AO739" s="9"/>
      <x:c r="AP739" s="11" t="str">
        <x:f>HYPERLINK("https://www.pricecharting.com/search-products?q=Johnny+Mnemonic+macintosh&amp;type=prices","PriceCharting")</x:f>
        <x:v>PriceCharting</x:v>
      </x:c>
      <x:c r="AQ739" s="9"/>
      <x:c r="AR739" s="9"/>
      <x:c r="AS739" s="9"/>
      <x:c r="AT739" s="9"/>
      <x:c r="AU739" s="9" t="str">
        <x:v>No market</x:v>
      </x:c>
      <x:c r="AV739" s="9" t="str">
        <x:v>Not listed on PriceCharting, whose Macintosh console has only about 110 items (searched 2026-10-25).</x:v>
      </x:c>
      <x:c r="AW739" s="9"/>
      <x:c r="AX739" s="9"/>
      <x:c r="AY739" s="9"/>
      <x:c r="AZ739" s="9"/>
      <x:c r="BA739" s="11" t="str">
        <x:f>HYPERLINK("https://www.mobygames.com/game/3523/johnny-mnemonic/","MobyGames")</x:f>
        <x:v>MobyGames</x:v>
      </x:c>
      <x:c r="BB739" s="9" t="str">
        <x:v>20%</x:v>
      </x:c>
      <x:c r="BC739" s="9" t="str">
        <x:v>MacUser on Wikipedia, 1 review</x:v>
      </x:c>
      <x:c r="BD739" s="9" t="str">
        <x:f>HYPERLINK("https://en.wikipedia.org/wiki/Johnny_Mnemonic_%28video_game%29","Source")</x:f>
        <x:v>Source</x:v>
      </x:c>
      <x:c r="BE739" s="11" t="str">
        <x:f>HYPERLINK("https://en.wikipedia.org/wiki/Johnny_Mnemonic_(video_game)","Wikipedia")</x:f>
        <x:v>Wikipedia</x:v>
      </x:c>
      <x:c r="BF739" s="11" t="str">
        <x:f>HYPERLINK("https://backloggd.com/search/games/Johnny%20Mnemonic/","Backloggd")</x:f>
        <x:v>Backloggd</x:v>
      </x:c>
      <x:c r="BG739" s="9"/>
      <x:c r="BH739" s="9"/>
      <x:c r="BI739" s="12" t="str">
        <x:v>No</x:v>
      </x:c>
      <x:c r="BJ739" s="12" t="str"/>
      <x:c r="BK739" s="12" t="str">
        <x:v>No</x:v>
      </x:c>
      <x:c r="BL739" s="12" t="str"/>
      <x:c r="BM739" s="12" t="str"/>
      <x:c r="BN739" s="12" t="str"/>
      <x:c r="BO739" s="12" t="str"/>
      <x:c r="BP739" s="12" t="str"/>
      <x:c r="BQ739" s="12" t="str"/>
    </x:row>
    <x:row r="740">
      <x:c r="A740" s="9" t="str">
        <x:v>mac-34</x:v>
      </x:c>
      <x:c r="B740" s="9" t="str">
        <x:v>club-dead</x:v>
      </x:c>
      <x:c r="C740" s="9" t="str">
        <x:v>Macintosh</x:v>
      </x:c>
      <x:c r="D740" s="9" t="str">
        <x:v>Club Dead</x:v>
      </x:c>
      <x:c r="E740" s="9" t="str">
        <x:v>MTV's Club Dead</x:v>
      </x:c>
      <x:c r="F740" s="9" t="str">
        <x:v>Viacom New Media (ICOM Simulations)</x:v>
      </x:c>
      <x:c r="G740" s="9" t="str">
        <x:v>Viacom New Media</x:v>
      </x:c>
      <x:c r="H740" s="9" t="n">
        <x:v>1994</x:v>
      </x:c>
      <x:c r="I740" s="9" t="str">
        <x:v>Yes</x:v>
      </x:c>
      <x:c r="J740" s="9" t="str">
        <x:v>No</x:v>
      </x:c>
      <x:c r="K740" s="9" t="str">
        <x:v>No</x:v>
      </x:c>
      <x:c r="L740" s="9" t="str">
        <x:v>No</x:v>
      </x:c>
      <x:c r="M740" s="9" t="str">
        <x:v>FMV adventure</x:v>
      </x:c>
      <x:c r="N740" s="9" t="str">
        <x:v>Live-action + pre-rendered CG</x:v>
      </x:c>
      <x:c r="O740" s="9" t="n">
        <x:v>6</x:v>
      </x:c>
      <x:c r="P740" s="9" t="str">
        <x:v>FMV adventure</x:v>
      </x:c>
      <x:c r="Q740" s="9" t="str">
        <x:v>Released</x:v>
      </x:c>
      <x:c r="R740" s="9" t="str">
        <x:v>Original production, MTV license</x:v>
      </x:c>
      <x:c r="S740" s="9" t="str">
        <x:v>MS-DOS</x:v>
      </x:c>
      <x:c r="T740" s="9" t="str">
        <x:v>Kate Walsh, Nick Offerman, Pat Healy</x:v>
      </x:c>
      <x:c r="U740" s="9" t="n">
        <x:v>1</x:v>
      </x:c>
      <x:c r="V740" s="9" t="str">
        <x:v>Yes</x:v>
      </x:c>
      <x:c r="W740" s="9" t="str">
        <x:v>Mouse</x:v>
      </x:c>
      <x:c r="X740" s="9" t="str">
        <x:v>Low–Med</x:v>
      </x:c>
      <x:c r="Y740" s="9" t="str">
        <x:v>MTV branding</x:v>
      </x:c>
      <x:c r="Z740" s="9" t="str">
        <x:v>3–4 hr</x:v>
      </x:c>
      <x:c r="AA740" s="9" t="str">
        <x:v>Nick Offerman and Kate Walsh in an MTV cyberpunk murder mystery before anyone knew them.</x:v>
      </x:c>
      <x:c r="AB740" s="9" t="str">
        <x:v>None known</x:v>
      </x:c>
      <x:c r="AC740" s="9" t="str">
        <x:v>About 90 minutes of FMV across ~150 scenes over pre-rendered rooms</x:v>
      </x:c>
      <x:c r="AD740" s="9" t="str">
        <x:v>Timing-based: scenes trigger only at the right place and time, easy to miss.</x:v>
      </x:c>
      <x:c r="AE740" s="9" t="str">
        <x:v>Four in-game days to find the killer; fail state if you don't (verify).</x:v>
      </x:c>
      <x:c r="AF740" s="9" t="str">
        <x:v>First MTV-licensed CD-ROM; styled after MTV's show Dead at 21.</x:v>
      </x:c>
      <x:c r="AG740" s="9" t="str">
        <x:v>Mac box dated 1995 on resale listings (verify year)</x:v>
      </x:c>
      <x:c r="AH740" s="9" t="str">
        <x:v>No</x:v>
      </x:c>
      <x:c r="AI740" s="9" t="str">
        <x:v>Easy</x:v>
      </x:c>
      <x:c r="AJ740" s="9" t="str">
        <x:v>Original disc on a 68k/PowerPC Mac, or SheepShaver/Basilisk II emulation.</x:v>
      </x:c>
      <x:c r="AK740" s="9" t="str">
        <x:v>Wikipedia title is 'MTV: Club Dead'.</x:v>
      </x:c>
      <x:c r="AL740" s="10"/>
      <x:c r="AM740" s="10"/>
      <x:c r="AN740" s="10"/>
      <x:c r="AO740" s="9"/>
      <x:c r="AP740" s="11" t="str">
        <x:f>HYPERLINK("https://www.pricecharting.com/game/macintosh/mtv-club-dead","PriceCharting")</x:f>
        <x:v>PriceCharting</x:v>
      </x:c>
      <x:c r="AQ740" s="9"/>
      <x:c r="AR740" s="9"/>
      <x:c r="AS740" s="9"/>
      <x:c r="AT740" s="9"/>
      <x:c r="AU740" s="9" t="str">
        <x:v>No market</x:v>
      </x:c>
      <x:c r="AV740" s="9" t="str">
        <x:v>Not listed on PriceCharting, whose Macintosh console has only about 110 items (searched 2026-10-25).</x:v>
      </x:c>
      <x:c r="AW740" s="9"/>
      <x:c r="AX740" s="9"/>
      <x:c r="AY740" s="9"/>
      <x:c r="AZ740" s="9"/>
      <x:c r="BA740" s="11" t="str">
        <x:f>HYPERLINK("https://www.mobygames.com/search/?q=Club+Dead","MobyGames")</x:f>
        <x:v>MobyGames</x:v>
      </x:c>
      <x:c r="BB740" s="9"/>
      <x:c r="BC740" s="9"/>
      <x:c r="BD740" s="9"/>
      <x:c r="BE740" s="11" t="str">
        <x:f>HYPERLINK("https://en.wikipedia.org/wiki/MTV:_Club_Dead","Wikipedia")</x:f>
        <x:v>Wikipedia</x:v>
      </x:c>
      <x:c r="BF740" s="11" t="str">
        <x:f>HYPERLINK("https://backloggd.com/search/games/Club%20Dead/","Backloggd")</x:f>
        <x:v>Backloggd</x:v>
      </x:c>
      <x:c r="BG740" s="9"/>
      <x:c r="BH740" s="9"/>
      <x:c r="BI740" s="12" t="str">
        <x:v>No</x:v>
      </x:c>
      <x:c r="BJ740" s="12" t="str"/>
      <x:c r="BK740" s="12" t="str">
        <x:v>No</x:v>
      </x:c>
      <x:c r="BL740" s="12" t="str"/>
      <x:c r="BM740" s="12" t="str"/>
      <x:c r="BN740" s="12" t="str"/>
      <x:c r="BO740" s="12" t="str"/>
      <x:c r="BP740" s="12" t="str"/>
      <x:c r="BQ740" s="12" t="str"/>
    </x:row>
    <x:row r="741">
      <x:c r="A741" s="9" t="str">
        <x:v>mac-35</x:v>
      </x:c>
      <x:c r="B741" s="9" t="str">
        <x:v>the-x-files-game</x:v>
      </x:c>
      <x:c r="C741" s="9" t="str">
        <x:v>Macintosh</x:v>
      </x:c>
      <x:c r="D741" s="9" t="str">
        <x:v>The X-Files Game</x:v>
      </x:c>
      <x:c r="E741" s="9" t="str"/>
      <x:c r="F741" s="9" t="str">
        <x:v>HyperBole Studios</x:v>
      </x:c>
      <x:c r="G741" s="9" t="str">
        <x:v>Fox Interactive</x:v>
      </x:c>
      <x:c r="H741" s="9" t="n">
        <x:v>1998</x:v>
      </x:c>
      <x:c r="I741" s="9" t="str">
        <x:v>Yes</x:v>
      </x:c>
      <x:c r="J741" s="9" t="str">
        <x:v>No</x:v>
      </x:c>
      <x:c r="K741" s="9" t="str">
        <x:v>No</x:v>
      </x:c>
      <x:c r="L741" s="9" t="str">
        <x:v>No</x:v>
      </x:c>
      <x:c r="M741" s="9" t="str">
        <x:v>FMV adventure</x:v>
      </x:c>
      <x:c r="N741" s="9" t="str">
        <x:v>Live-action</x:v>
      </x:c>
      <x:c r="O741" s="9" t="n">
        <x:v>8</x:v>
      </x:c>
      <x:c r="P741" s="9" t="str">
        <x:v>FMV adventure</x:v>
      </x:c>
      <x:c r="Q741" s="9" t="str">
        <x:v>Released</x:v>
      </x:c>
      <x:c r="R741" s="9" t="str">
        <x:v>TV license (The X-Files)</x:v>
      </x:c>
      <x:c r="S741" s="9" t="str">
        <x:v>Windows, PlayStation</x:v>
      </x:c>
      <x:c r="T741" s="9" t="str">
        <x:v>David Duchovny, Gillian Anderson, Mitch Pileggi, Steven Williams, William B. Davis, The Lone Gunmen</x:v>
      </x:c>
      <x:c r="U741" s="9" t="n">
        <x:v>7</x:v>
      </x:c>
      <x:c r="V741" s="9" t="str">
        <x:v>Yes</x:v>
      </x:c>
      <x:c r="W741" s="9" t="str">
        <x:v>Mouse</x:v>
      </x:c>
      <x:c r="X741" s="9" t="str">
        <x:v>HIGH</x:v>
      </x:c>
      <x:c r="Y741" s="9" t="str">
        <x:v>Mark Snow X-Files theme and Fox TV branding</x:v>
      </x:c>
      <x:c r="Z741" s="9" t="str">
        <x:v>8–10 hr</x:v>
      </x:c>
      <x:c r="AA741" s="9" t="str">
        <x:v>A full X-Files episode you play, with Mulder and Scully on six hours of footage.</x:v>
      </x:c>
      <x:c r="AB741" s="9" t="str">
        <x:v>None known</x:v>
      </x:c>
      <x:c r="AC741" s="9" t="str">
        <x:v>QuickTime video in VirtualCinema engine, near full screen</x:v>
      </x:c>
      <x:c r="AD741" s="9" t="str">
        <x:v>Moderate; some dead ends if you miss evidence.</x:v>
      </x:c>
      <x:c r="AE741" s="9" t="str">
        <x:v>Multiple, set by choices; Smoking Man appears depending on outcome.</x:v>
      </x:c>
      <x:c r="AF741" s="9" t="str">
        <x:v>Filmed in Seattle; cost $6 million over four years with a 1,000-page design doc.</x:v>
      </x:c>
      <x:c r="AG741" s="9" t="str">
        <x:v>Hybrid Mac/PC 7-disc box</x:v>
      </x:c>
      <x:c r="AH741" s="9" t="str">
        <x:v>No</x:v>
      </x:c>
      <x:c r="AI741" s="9" t="str">
        <x:v>Easy</x:v>
      </x:c>
      <x:c r="AJ741" s="9" t="str">
        <x:v>Original disc on a 68k/PowerPC Mac, or SheepShaver/Basilisk II emulation.</x:v>
      </x:c>
      <x:c r="AK741" s="9" t="str">
        <x:v>Mac version June 1998 (NA). Macworld 3/5; MacAddict called it 'Freakin' Awesome!'</x:v>
      </x:c>
      <x:c r="AL741" s="10"/>
      <x:c r="AM741" s="10"/>
      <x:c r="AN741" s="10"/>
      <x:c r="AO741" s="9"/>
      <x:c r="AP741" s="11" t="str">
        <x:f>HYPERLINK("https://www.pricecharting.com/search-products?q=The+X-Files+Game+macintosh&amp;type=prices","PriceCharting")</x:f>
        <x:v>PriceCharting</x:v>
      </x:c>
      <x:c r="AQ741" s="9"/>
      <x:c r="AR741" s="9"/>
      <x:c r="AS741" s="9"/>
      <x:c r="AT741" s="9"/>
      <x:c r="AU741" s="9" t="str">
        <x:v>No market</x:v>
      </x:c>
      <x:c r="AV741" s="9" t="str">
        <x:v>Not listed on PriceCharting, whose Macintosh console has only about 110 items (searched 2026-10-25).</x:v>
      </x:c>
      <x:c r="AW741" s="9"/>
      <x:c r="AX741" s="9"/>
      <x:c r="AY741" s="9" t="str">
        <x:v>72%</x:v>
      </x:c>
      <x:c r="AZ741" s="9"/>
      <x:c r="BA741" s="11" t="str">
        <x:f>HYPERLINK("https://www.mobygames.com/search/?q=The+X-Files+Game","MobyGames")</x:f>
        <x:v>MobyGames</x:v>
      </x:c>
      <x:c r="BB741" s="9"/>
      <x:c r="BC741" s="9"/>
      <x:c r="BD741" s="9"/>
      <x:c r="BE741" s="11" t="str">
        <x:f>HYPERLINK("https://en.wikipedia.org/wiki/The_X-Files_Game","Wikipedia")</x:f>
        <x:v>Wikipedia</x:v>
      </x:c>
      <x:c r="BF741" s="11" t="str">
        <x:f>HYPERLINK("https://backloggd.com/search/games/The%20X-Files%20Game/","Backloggd")</x:f>
        <x:v>Backloggd</x:v>
      </x:c>
      <x:c r="BG741" s="9"/>
      <x:c r="BH741" s="9"/>
      <x:c r="BI741" s="12" t="str">
        <x:v>No</x:v>
      </x:c>
      <x:c r="BJ741" s="12" t="str"/>
      <x:c r="BK741" s="12" t="str">
        <x:v>No</x:v>
      </x:c>
      <x:c r="BL741" s="12" t="str"/>
      <x:c r="BM741" s="12" t="str"/>
      <x:c r="BN741" s="12" t="str"/>
      <x:c r="BO741" s="12" t="str"/>
      <x:c r="BP741" s="12" t="str"/>
      <x:c r="BQ741" s="12" t="str"/>
    </x:row>
    <x:row r="742">
      <x:c r="A742" s="9" t="str">
        <x:v>mac-36</x:v>
      </x:c>
      <x:c r="B742" s="9" t="str">
        <x:v>star-trek-klingon</x:v>
      </x:c>
      <x:c r="C742" s="9" t="str">
        <x:v>Macintosh</x:v>
      </x:c>
      <x:c r="D742" s="9" t="str">
        <x:v>Star Trek: Klingon</x:v>
      </x:c>
      <x:c r="E742" s="9" t="str"/>
      <x:c r="F742" s="9" t="str">
        <x:v>Simon &amp; Schuster Interactive</x:v>
      </x:c>
      <x:c r="G742" s="9" t="str">
        <x:v>Simon &amp; Schuster Interactive</x:v>
      </x:c>
      <x:c r="H742" s="9" t="n">
        <x:v>1996</x:v>
      </x:c>
      <x:c r="I742" s="9" t="str">
        <x:v>Yes</x:v>
      </x:c>
      <x:c r="J742" s="9" t="str">
        <x:v>No</x:v>
      </x:c>
      <x:c r="K742" s="9" t="str">
        <x:v>No</x:v>
      </x:c>
      <x:c r="L742" s="9" t="str">
        <x:v>No</x:v>
      </x:c>
      <x:c r="M742" s="9" t="str">
        <x:v>Interactive movie</x:v>
      </x:c>
      <x:c r="N742" s="9" t="str">
        <x:v>Live-action</x:v>
      </x:c>
      <x:c r="O742" s="9" t="n">
        <x:v>10</x:v>
      </x:c>
      <x:c r="P742" s="9" t="str">
        <x:v>Interactive movie</x:v>
      </x:c>
      <x:c r="Q742" s="9" t="str">
        <x:v>Released</x:v>
      </x:c>
      <x:c r="R742" s="9" t="str">
        <x:v>Star Trek license</x:v>
      </x:c>
      <x:c r="S742" s="9" t="str">
        <x:v>Windows</x:v>
      </x:c>
      <x:c r="T742" s="9" t="str">
        <x:v>Robert O'Reilly (Gowron), J. G. Hertzler; directed by Jonathan Frakes</x:v>
      </x:c>
      <x:c r="U742" s="9" t="n">
        <x:v>3</x:v>
      </x:c>
      <x:c r="V742" s="9" t="str">
        <x:v>Yes</x:v>
      </x:c>
      <x:c r="W742" s="9" t="str">
        <x:v>Mouse</x:v>
      </x:c>
      <x:c r="X742" s="9" t="str">
        <x:v>Med–High</x:v>
      </x:c>
      <x:c r="Y742" s="9" t="str">
        <x:v>Star Trek music and Paramount footage</x:v>
      </x:c>
      <x:c r="Z742" s="9" t="str">
        <x:v>2–3 hr</x:v>
      </x:c>
      <x:c r="AA742" s="9" t="str">
        <x:v>Jonathan Frakes directs a full-motion Klingon revenge story that tries to teach you the language.</x:v>
      </x:c>
      <x:c r="AB742" s="9" t="str">
        <x:v>None known</x:v>
      </x:c>
      <x:c r="AC742" s="9" t="str">
        <x:v>Full-screen live-action video, mid-90s CD quality</x:v>
      </x:c>
      <x:c r="AD742" s="9" t="str">
        <x:v>Wrong choices kill you; the program rewinds to retry.</x:v>
      </x:c>
      <x:c r="AE742" s="9" t="str">
        <x:v>Single successful ending; many failure branches.</x:v>
      </x:c>
      <x:c r="AF742" s="9" t="str">
        <x:v>Third disc holds a Klingon language lab with Dragon Systems speech recognition.</x:v>
      </x:c>
      <x:c r="AG742" s="9" t="str">
        <x:v>Hybrid Mac/PC disc set (verify)</x:v>
      </x:c>
      <x:c r="AH742" s="9" t="str">
        <x:v>No</x:v>
      </x:c>
      <x:c r="AI742" s="9" t="str">
        <x:v>Easy</x:v>
      </x:c>
      <x:c r="AJ742" s="9" t="str">
        <x:v>Original disc on a 68k/PowerPC Mac, or SheepShaver/Basilisk II emulation.</x:v>
      </x:c>
      <x:c r="AK742" s="9" t="str">
        <x:v>Next Generation gave it 1/5.</x:v>
      </x:c>
      <x:c r="AL742" s="10"/>
      <x:c r="AM742" s="10"/>
      <x:c r="AN742" s="10"/>
      <x:c r="AO742" s="9"/>
      <x:c r="AP742" s="11" t="str">
        <x:f>HYPERLINK("https://www.pricecharting.com/search-products?q=Star+Trek%3A+Klingon+macintosh&amp;type=prices","PriceCharting")</x:f>
        <x:v>PriceCharting</x:v>
      </x:c>
      <x:c r="AQ742" s="9"/>
      <x:c r="AR742" s="9"/>
      <x:c r="AS742" s="9"/>
      <x:c r="AT742" s="9"/>
      <x:c r="AU742" s="9" t="str">
        <x:v>No market</x:v>
      </x:c>
      <x:c r="AV742" s="9" t="str">
        <x:v>Not listed on PriceCharting, whose Macintosh console has only about 110 items (searched 2026-10-25).</x:v>
      </x:c>
      <x:c r="AW742" s="9"/>
      <x:c r="AX742" s="9"/>
      <x:c r="AY742" s="9"/>
      <x:c r="AZ742" s="9"/>
      <x:c r="BA742" s="11" t="str">
        <x:f>HYPERLINK("https://www.mobygames.com/search/?q=Star+Trek%3A+Klingon","MobyGames")</x:f>
        <x:v>MobyGames</x:v>
      </x:c>
      <x:c r="BB742" s="9"/>
      <x:c r="BC742" s="9"/>
      <x:c r="BD742" s="9"/>
      <x:c r="BE742" s="11" t="str">
        <x:f>HYPERLINK("https://en.wikipedia.org/wiki/Star_Trek:_Klingon","Wikipedia")</x:f>
        <x:v>Wikipedia</x:v>
      </x:c>
      <x:c r="BF742" s="11" t="str">
        <x:f>HYPERLINK("https://backloggd.com/search/games/Star%20Trek%3A%20Klingon/","Backloggd")</x:f>
        <x:v>Backloggd</x:v>
      </x:c>
      <x:c r="BG742" s="9"/>
      <x:c r="BH742" s="9"/>
      <x:c r="BI742" s="12" t="str">
        <x:v>No</x:v>
      </x:c>
      <x:c r="BJ742" s="12" t="str"/>
      <x:c r="BK742" s="12" t="str">
        <x:v>No</x:v>
      </x:c>
      <x:c r="BL742" s="12" t="str"/>
      <x:c r="BM742" s="12" t="str"/>
      <x:c r="BN742" s="12" t="str"/>
      <x:c r="BO742" s="12" t="str"/>
      <x:c r="BP742" s="12" t="str"/>
      <x:c r="BQ742" s="12" t="str"/>
    </x:row>
    <x:row r="743">
      <x:c r="A743" s="9" t="str">
        <x:v>mac-37</x:v>
      </x:c>
      <x:c r="B743" s="9" t="str">
        <x:v>star-trek-borg</x:v>
      </x:c>
      <x:c r="C743" s="9" t="str">
        <x:v>Macintosh</x:v>
      </x:c>
      <x:c r="D743" s="9" t="str">
        <x:v>Star Trek: Borg</x:v>
      </x:c>
      <x:c r="E743" s="9" t="str"/>
      <x:c r="F743" s="9" t="str">
        <x:v>Simon &amp; Schuster Interactive</x:v>
      </x:c>
      <x:c r="G743" s="9" t="str">
        <x:v>Simon &amp; Schuster Interactive</x:v>
      </x:c>
      <x:c r="H743" s="9" t="n">
        <x:v>1996</x:v>
      </x:c>
      <x:c r="I743" s="9" t="str">
        <x:v>Yes</x:v>
      </x:c>
      <x:c r="J743" s="9" t="str">
        <x:v>No</x:v>
      </x:c>
      <x:c r="K743" s="9" t="str">
        <x:v>No</x:v>
      </x:c>
      <x:c r="L743" s="9" t="str">
        <x:v>No</x:v>
      </x:c>
      <x:c r="M743" s="9" t="str">
        <x:v>Interactive movie</x:v>
      </x:c>
      <x:c r="N743" s="9" t="str">
        <x:v>Live-action</x:v>
      </x:c>
      <x:c r="O743" s="9" t="n">
        <x:v>10</x:v>
      </x:c>
      <x:c r="P743" s="9" t="str">
        <x:v>Interactive movie</x:v>
      </x:c>
      <x:c r="Q743" s="9" t="str">
        <x:v>Released</x:v>
      </x:c>
      <x:c r="R743" s="9" t="str">
        <x:v>Star Trek license</x:v>
      </x:c>
      <x:c r="S743" s="9" t="str">
        <x:v>Windows</x:v>
      </x:c>
      <x:c r="T743" s="9" t="str">
        <x:v>John de Lancie (Q); directed by James L. Conway</x:v>
      </x:c>
      <x:c r="U743" s="9" t="n">
        <x:v>3</x:v>
      </x:c>
      <x:c r="V743" s="9" t="str">
        <x:v>Yes</x:v>
      </x:c>
      <x:c r="W743" s="9" t="str">
        <x:v>Mouse</x:v>
      </x:c>
      <x:c r="X743" s="9" t="str">
        <x:v>Med–High</x:v>
      </x:c>
      <x:c r="Y743" s="9" t="str">
        <x:v>Star Trek music (Dennis McCarthy) and Paramount footage</x:v>
      </x:c>
      <x:c r="Z743" s="9" t="str">
        <x:v>2 hr</x:v>
      </x:c>
      <x:c r="AA743" s="9" t="str">
        <x:v>Q sends you back in time to stop the Borg in a first-person Trek movie.</x:v>
      </x:c>
      <x:c r="AB743" s="9" t="str">
        <x:v>None known</x:v>
      </x:c>
      <x:c r="AC743" s="9" t="str">
        <x:v>Full-screen live-action video</x:v>
      </x:c>
      <x:c r="AD743" s="9" t="str">
        <x:v>Fail and Q resets time; too many failures bore Q and end the game.</x:v>
      </x:c>
      <x:c r="AE743" s="9" t="str">
        <x:v>One win; many failure branches.</x:v>
      </x:c>
      <x:c r="AF743" s="9" t="str">
        <x:v>Shot on redressed Voyager sets, overlapping First Contact's filming.</x:v>
      </x:c>
      <x:c r="AG743" s="9" t="str">
        <x:v>Hybrid Mac/PC disc (PC and Mac CD-ROM, USA/Canada 1996)</x:v>
      </x:c>
      <x:c r="AH743" s="9" t="str">
        <x:v>No</x:v>
      </x:c>
      <x:c r="AI743" s="9" t="str">
        <x:v>Easy</x:v>
      </x:c>
      <x:c r="AJ743" s="9" t="str">
        <x:v>Original disc on a 68k/PowerPC Mac, or SheepShaver/Basilisk II emulation.</x:v>
      </x:c>
      <x:c r="AK743" s="9" t="str">
        <x:v>Disc count 3 per common listings (verify).</x:v>
      </x:c>
      <x:c r="AL743" s="10"/>
      <x:c r="AM743" s="10"/>
      <x:c r="AN743" s="10"/>
      <x:c r="AO743" s="9"/>
      <x:c r="AP743" s="11" t="str">
        <x:f>HYPERLINK("https://www.pricecharting.com/search-products?q=Star+Trek%3A+Borg+macintosh&amp;type=prices","PriceCharting")</x:f>
        <x:v>PriceCharting</x:v>
      </x:c>
      <x:c r="AQ743" s="9"/>
      <x:c r="AR743" s="9"/>
      <x:c r="AS743" s="9"/>
      <x:c r="AT743" s="9"/>
      <x:c r="AU743" s="9" t="str">
        <x:v>No market</x:v>
      </x:c>
      <x:c r="AV743" s="9" t="str">
        <x:v>Not listed on PriceCharting, whose Macintosh console has only about 110 items (searched 2026-10-25).</x:v>
      </x:c>
      <x:c r="AW743" s="9"/>
      <x:c r="AX743" s="9"/>
      <x:c r="AY743" s="9" t="str">
        <x:v>63%</x:v>
      </x:c>
      <x:c r="AZ743" s="9"/>
      <x:c r="BA743" s="11" t="str">
        <x:f>HYPERLINK("https://www.mobygames.com/search/?q=Star+Trek%3A+Borg","MobyGames")</x:f>
        <x:v>MobyGames</x:v>
      </x:c>
      <x:c r="BB743" s="9"/>
      <x:c r="BC743" s="9"/>
      <x:c r="BD743" s="9"/>
      <x:c r="BE743" s="11" t="str">
        <x:f>HYPERLINK("https://en.wikipedia.org/wiki/Star_Trek:_Borg","Wikipedia")</x:f>
        <x:v>Wikipedia</x:v>
      </x:c>
      <x:c r="BF743" s="11" t="str">
        <x:f>HYPERLINK("https://backloggd.com/search/games/Star%20Trek%3A%20Borg/","Backloggd")</x:f>
        <x:v>Backloggd</x:v>
      </x:c>
      <x:c r="BG743" s="9"/>
      <x:c r="BH743" s="9"/>
      <x:c r="BI743" s="12" t="str">
        <x:v>No</x:v>
      </x:c>
      <x:c r="BJ743" s="12" t="str"/>
      <x:c r="BK743" s="12" t="str">
        <x:v>No</x:v>
      </x:c>
      <x:c r="BL743" s="12" t="str"/>
      <x:c r="BM743" s="12" t="str"/>
      <x:c r="BN743" s="12" t="str"/>
      <x:c r="BO743" s="12" t="str"/>
      <x:c r="BP743" s="12" t="str"/>
      <x:c r="BQ743" s="12" t="str"/>
    </x:row>
    <x:row r="744">
      <x:c r="A744" s="9" t="str">
        <x:v>mac-38</x:v>
      </x:c>
      <x:c r="B744" s="9" t="str">
        <x:v>frankenstein-through-the-eyes-of-the-monster</x:v>
      </x:c>
      <x:c r="C744" s="9" t="str">
        <x:v>Macintosh</x:v>
      </x:c>
      <x:c r="D744" s="9" t="str">
        <x:v>Frankenstein: Through the Eyes of the Monster</x:v>
      </x:c>
      <x:c r="E744" s="9" t="str"/>
      <x:c r="F744" s="9" t="str">
        <x:v>Amazing Media</x:v>
      </x:c>
      <x:c r="G744" s="9" t="str">
        <x:v>Interplay</x:v>
      </x:c>
      <x:c r="H744" s="9" t="n">
        <x:v>1995</x:v>
      </x:c>
      <x:c r="I744" s="9" t="str">
        <x:v>Yes</x:v>
      </x:c>
      <x:c r="J744" s="9" t="str">
        <x:v>No</x:v>
      </x:c>
      <x:c r="K744" s="9" t="str">
        <x:v>No</x:v>
      </x:c>
      <x:c r="L744" s="9" t="str">
        <x:v>No</x:v>
      </x:c>
      <x:c r="M744" s="9" t="str">
        <x:v>First-person adventure</x:v>
      </x:c>
      <x:c r="N744" s="9" t="str">
        <x:v>Live-action + pre-rendered CG</x:v>
      </x:c>
      <x:c r="O744" s="9" t="n">
        <x:v>5</x:v>
      </x:c>
      <x:c r="P744" s="9" t="str">
        <x:v>FMV adventure</x:v>
      </x:c>
      <x:c r="Q744" s="9" t="str">
        <x:v>Released</x:v>
      </x:c>
      <x:c r="R744" s="9" t="str">
        <x:v>Original production</x:v>
      </x:c>
      <x:c r="S744" s="9" t="str">
        <x:v>Windows, Sega Saturn (JP)</x:v>
      </x:c>
      <x:c r="T744" s="9" t="str">
        <x:v>Tim Curry (Dr. Frankenstein)</x:v>
      </x:c>
      <x:c r="U744" s="9" t="n">
        <x:v>2</x:v>
      </x:c>
      <x:c r="V744" s="9" t="str">
        <x:v>Yes</x:v>
      </x:c>
      <x:c r="W744" s="9" t="str">
        <x:v>Mouse</x:v>
      </x:c>
      <x:c r="X744" s="9" t="str">
        <x:v>Low</x:v>
      </x:c>
      <x:c r="Y744" s="9" t="str"/>
      <x:c r="Z744" s="9" t="str">
        <x:v>5–8 hr</x:v>
      </x:c>
      <x:c r="AA744" s="9" t="str">
        <x:v>You are the monster, and Tim Curry is your very theatrical maker.</x:v>
      </x:c>
      <x:c r="AB744" s="9" t="str">
        <x:v>None known</x:v>
      </x:c>
      <x:c r="AC744" s="9" t="str">
        <x:v>Live-action Tim Curry composited into pre-rendered rooms</x:v>
      </x:c>
      <x:c r="AD744" s="9" t="str">
        <x:v>Myst-style puzzles; some obtuse.</x:v>
      </x:c>
      <x:c r="AE744" s="9" t="str">
        <x:v>Multiple endings from two choice points.</x:v>
      </x:c>
      <x:c r="AF744" s="9" t="str">
        <x:v>AllGame gave the Mac version 4.5/5; a Jaguar port was planned but never released.</x:v>
      </x:c>
      <x:c r="AG744" s="9" t="str">
        <x:v>Hybrid Mac/PC disc (verify); 2001 bundle with Mummy: Tomb of the Pharaoh</x:v>
      </x:c>
      <x:c r="AH744" s="9" t="str">
        <x:v>No</x:v>
      </x:c>
      <x:c r="AI744" s="9" t="str">
        <x:v>Easy</x:v>
      </x:c>
      <x:c r="AJ744" s="9" t="str">
        <x:v>Original disc on a 68k/PowerPC Mac, or SheepShaver/Basilisk II emulation.</x:v>
      </x:c>
      <x:c r="AK744" s="9" t="str">
        <x:v>Mac version released 3 Oct 1995 (NA).</x:v>
      </x:c>
      <x:c r="AL744" s="10"/>
      <x:c r="AM744" s="10"/>
      <x:c r="AN744" s="10"/>
      <x:c r="AO744" s="9"/>
      <x:c r="AP744" s="11" t="str">
        <x:f>HYPERLINK("https://www.pricecharting.com/search-products?q=Frankenstein%3A+Through+the+Eyes+of+the+Monster+macintosh&amp;type=prices","PriceCharting")</x:f>
        <x:v>PriceCharting</x:v>
      </x:c>
      <x:c r="AQ744" s="9"/>
      <x:c r="AR744" s="9"/>
      <x:c r="AS744" s="9"/>
      <x:c r="AT744" s="9"/>
      <x:c r="AU744" s="9" t="str">
        <x:v>No market</x:v>
      </x:c>
      <x:c r="AV744" s="9" t="str">
        <x:v>Not listed on PriceCharting, whose Macintosh console has only about 110 items (searched 2026-10-25).</x:v>
      </x:c>
      <x:c r="AW744" s="9"/>
      <x:c r="AX744" s="9"/>
      <x:c r="AY744" s="9" t="str">
        <x:v>67%</x:v>
      </x:c>
      <x:c r="AZ744" s="9"/>
      <x:c r="BA744" s="11" t="str">
        <x:f>HYPERLINK("https://www.mobygames.com/game/3216","MobyGames")</x:f>
        <x:v>MobyGames</x:v>
      </x:c>
      <x:c r="BB744" s="9" t="str">
        <x:v>75%</x:v>
      </x:c>
      <x:c r="BC744" s="9" t="str">
        <x:v>average of 2 reviews on Wikipedia (Allgame, NGen)</x:v>
      </x:c>
      <x:c r="BD744" s="9" t="str">
        <x:f>HYPERLINK("https://en.wikipedia.org/wiki/Frankenstein%3A_Through_the_Eyes_of_the_Monster","Source")</x:f>
        <x:v>Source</x:v>
      </x:c>
      <x:c r="BE744" s="11" t="str">
        <x:f>HYPERLINK("https://en.wikipedia.org/wiki/Frankenstein:_Through_the_Eyes_of_the_Monster","Wikipedia")</x:f>
        <x:v>Wikipedia</x:v>
      </x:c>
      <x:c r="BF744" s="11" t="str">
        <x:f>HYPERLINK("https://backloggd.com/search/games/Frankenstein%3A%20Through%20the%20Eyes%20of%20the%20Monster/","Backloggd")</x:f>
        <x:v>Backloggd</x:v>
      </x:c>
      <x:c r="BG744" s="9"/>
      <x:c r="BH744" s="9"/>
      <x:c r="BI744" s="12" t="str">
        <x:v>No</x:v>
      </x:c>
      <x:c r="BJ744" s="12" t="str"/>
      <x:c r="BK744" s="12" t="str">
        <x:v>No</x:v>
      </x:c>
      <x:c r="BL744" s="12" t="str"/>
      <x:c r="BM744" s="12" t="str"/>
      <x:c r="BN744" s="12" t="str"/>
      <x:c r="BO744" s="12" t="str"/>
      <x:c r="BP744" s="12" t="str"/>
      <x:c r="BQ744" s="12" t="str"/>
    </x:row>
    <x:row r="745">
      <x:c r="A745" s="9" t="str">
        <x:v>mac-39</x:v>
      </x:c>
      <x:c r="B745" s="9" t="str">
        <x:v>dracula-unleashed</x:v>
      </x:c>
      <x:c r="C745" s="9" t="str">
        <x:v>Macintosh</x:v>
      </x:c>
      <x:c r="D745" s="9" t="str">
        <x:v>Dracula Unleashed</x:v>
      </x:c>
      <x:c r="E745" s="9" t="str"/>
      <x:c r="F745" s="9" t="str">
        <x:v>ICOM Simulations</x:v>
      </x:c>
      <x:c r="G745" s="9" t="str">
        <x:v>Viacom New Media</x:v>
      </x:c>
      <x:c r="H745" s="9" t="n">
        <x:v>1994</x:v>
      </x:c>
      <x:c r="I745" s="9" t="str">
        <x:v>Yes</x:v>
      </x:c>
      <x:c r="J745" s="9" t="str">
        <x:v>No</x:v>
      </x:c>
      <x:c r="K745" s="9" t="str">
        <x:v>No</x:v>
      </x:c>
      <x:c r="L745" s="9" t="str">
        <x:v>No</x:v>
      </x:c>
      <x:c r="M745" s="9" t="str">
        <x:v>FMV adventure</x:v>
      </x:c>
      <x:c r="N745" s="9" t="str">
        <x:v>Live-action</x:v>
      </x:c>
      <x:c r="O745" s="9" t="n">
        <x:v>8</x:v>
      </x:c>
      <x:c r="P745" s="9" t="str">
        <x:v>FMV adventure</x:v>
      </x:c>
      <x:c r="Q745" s="9" t="str">
        <x:v>Released</x:v>
      </x:c>
      <x:c r="R745" s="9" t="str">
        <x:v>Original production</x:v>
      </x:c>
      <x:c r="S745" s="9" t="str">
        <x:v>MS-DOS, Sega CD</x:v>
      </x:c>
      <x:c r="T745" s="9" t="str">
        <x:v>—</x:v>
      </x:c>
      <x:c r="U745" s="9" t="n">
        <x:v>1</x:v>
      </x:c>
      <x:c r="V745" s="9" t="str">
        <x:v>Yes</x:v>
      </x:c>
      <x:c r="W745" s="9" t="str">
        <x:v>Mouse</x:v>
      </x:c>
      <x:c r="X745" s="9" t="str">
        <x:v>Low</x:v>
      </x:c>
      <x:c r="Y745" s="9" t="str"/>
      <x:c r="Z745" s="9" t="str">
        <x:v>2–4 hr</x:v>
      </x:c>
      <x:c r="AA745" s="9" t="str">
        <x:v>Hunt Dracula's heirs through Victorian London on a strict clock of live-action scenes.</x:v>
      </x:c>
      <x:c r="AB745" s="9" t="str">
        <x:v>None known</x:v>
      </x:c>
      <x:c r="AC745" s="9" t="str">
        <x:v>Windowed QuickTime video</x:v>
      </x:c>
      <x:c r="AD745" s="9" t="str">
        <x:v>Hard: you must be at the right place at the right time.</x:v>
      </x:c>
      <x:c r="AE745" s="9" t="str">
        <x:v>Many deaths; one true ending.</x:v>
      </x:c>
      <x:c r="AF745" s="9" t="str">
        <x:v>Made by the Sherlock Holmes Consulting Detective team at ICOM.</x:v>
      </x:c>
      <x:c r="AG745" s="9" t="str">
        <x:v>68K + PPC fat binary Mac release (verify)</x:v>
      </x:c>
      <x:c r="AH745" s="9" t="str">
        <x:v>No</x:v>
      </x:c>
      <x:c r="AI745" s="9" t="str">
        <x:v>Easy</x:v>
      </x:c>
      <x:c r="AJ745" s="9" t="str">
        <x:v>Original disc on a 68k/PowerPC Mac, or SheepShaver/Basilisk II emulation.</x:v>
      </x:c>
      <x:c r="AK745" s="9" t="str">
        <x:v>Mac year 1994 not confirmed (verify).</x:v>
      </x:c>
      <x:c r="AL745" s="10"/>
      <x:c r="AM745" s="10"/>
      <x:c r="AN745" s="10"/>
      <x:c r="AO745" s="9"/>
      <x:c r="AP745" s="11" t="str">
        <x:f>HYPERLINK("https://www.pricecharting.com/search-products?q=Dracula+Unleashed+macintosh&amp;type=prices","PriceCharting")</x:f>
        <x:v>PriceCharting</x:v>
      </x:c>
      <x:c r="AQ745" s="9"/>
      <x:c r="AR745" s="9"/>
      <x:c r="AS745" s="9"/>
      <x:c r="AT745" s="9"/>
      <x:c r="AU745" s="9" t="str">
        <x:v>No market</x:v>
      </x:c>
      <x:c r="AV745" s="9" t="str">
        <x:v>Not listed on PriceCharting, whose Macintosh console has only about 110 items (searched 2026-10-25).</x:v>
      </x:c>
      <x:c r="AW745" s="9"/>
      <x:c r="AX745" s="9"/>
      <x:c r="AY745" s="9"/>
      <x:c r="AZ745" s="9" t="str">
        <x:v>5.0</x:v>
      </x:c>
      <x:c r="BA745" s="11" t="str">
        <x:f>HYPERLINK("https://www.mobygames.com/game/460","MobyGames")</x:f>
        <x:v>MobyGames</x:v>
      </x:c>
      <x:c r="BB745" s="9"/>
      <x:c r="BC745" s="9"/>
      <x:c r="BD745" s="9"/>
      <x:c r="BE745" s="11" t="str">
        <x:f>HYPERLINK("https://en.wikipedia.org/wiki/Dracula_Unleashed","Wikipedia")</x:f>
        <x:v>Wikipedia</x:v>
      </x:c>
      <x:c r="BF745" s="11" t="str">
        <x:f>HYPERLINK("https://backloggd.com/search/games/Dracula%20Unleashed/","Backloggd")</x:f>
        <x:v>Backloggd</x:v>
      </x:c>
      <x:c r="BG745" s="9"/>
      <x:c r="BH745" s="9"/>
      <x:c r="BI745" s="12" t="str">
        <x:v>No</x:v>
      </x:c>
      <x:c r="BJ745" s="12" t="str"/>
      <x:c r="BK745" s="12" t="str">
        <x:v>No</x:v>
      </x:c>
      <x:c r="BL745" s="12" t="str"/>
      <x:c r="BM745" s="12" t="str"/>
      <x:c r="BN745" s="12" t="str"/>
      <x:c r="BO745" s="12" t="str"/>
      <x:c r="BP745" s="12" t="str"/>
      <x:c r="BQ745" s="12" t="str"/>
    </x:row>
    <x:row r="746">
      <x:c r="A746" s="9" t="str">
        <x:v>mac-40</x:v>
      </x:c>
      <x:c r="B746" s="9" t="str">
        <x:v>sherlock-holmes-consulting-detective-vol-i</x:v>
      </x:c>
      <x:c r="C746" s="9" t="str">
        <x:v>Macintosh</x:v>
      </x:c>
      <x:c r="D746" s="9" t="str">
        <x:v>Sherlock Holmes: Consulting Detective Vol. I</x:v>
      </x:c>
      <x:c r="E746" s="9" t="str">
        <x:v>Sherlock Holmes: Consulting Detective Vol. I</x:v>
      </x:c>
      <x:c r="F746" s="9" t="str">
        <x:v>ICOM Simulations</x:v>
      </x:c>
      <x:c r="G746" s="9" t="str">
        <x:v>ICOM Simulations / Viacom New Media (verify)</x:v>
      </x:c>
      <x:c r="H746" s="9" t="n">
        <x:v>1991</x:v>
      </x:c>
      <x:c r="I746" s="9" t="str">
        <x:v>Yes</x:v>
      </x:c>
      <x:c r="J746" s="9" t="str">
        <x:v>No</x:v>
      </x:c>
      <x:c r="K746" s="9" t="str">
        <x:v>No</x:v>
      </x:c>
      <x:c r="L746" s="9" t="str">
        <x:v>No</x:v>
      </x:c>
      <x:c r="M746" s="9" t="str">
        <x:v>FMV mystery</x:v>
      </x:c>
      <x:c r="N746" s="9" t="str">
        <x:v>Live-action</x:v>
      </x:c>
      <x:c r="O746" s="9" t="n">
        <x:v>8</x:v>
      </x:c>
      <x:c r="P746" s="9" t="str">
        <x:v>FMV adventure</x:v>
      </x:c>
      <x:c r="Q746" s="9" t="str">
        <x:v>Released</x:v>
      </x:c>
      <x:c r="R746" s="9" t="str">
        <x:v>Board game (Sherlock Holmes: Consulting Detective)</x:v>
      </x:c>
      <x:c r="S746" s="9" t="str">
        <x:v>MS-DOS, Sega CD, TurboGrafx-CD, Tandy VIS</x:v>
      </x:c>
      <x:c r="T746" s="9" t="str">
        <x:v>—</x:v>
      </x:c>
      <x:c r="U746" s="9" t="n">
        <x:v>1</x:v>
      </x:c>
      <x:c r="V746" s="9" t="str">
        <x:v>Yes</x:v>
      </x:c>
      <x:c r="W746" s="9" t="str">
        <x:v>Mouse</x:v>
      </x:c>
      <x:c r="X746" s="9" t="str">
        <x:v>Low</x:v>
      </x:c>
      <x:c r="Y746" s="9" t="str"/>
      <x:c r="Z746" s="9" t="str">
        <x:v>1–2 hr per case</x:v>
      </x:c>
      <x:c r="AA746" s="9" t="str">
        <x:v>Interview suspects on video and send Holmes's Baker Street Irregulars out across London.</x:v>
      </x:c>
      <x:c r="AB746" s="9" t="str">
        <x:v>None known</x:v>
      </x:c>
      <x:c r="AC746" s="9" t="str">
        <x:v>Small windowed video, 8-bit color</x:v>
      </x:c>
      <x:c r="AD746" s="9" t="str">
        <x:v>Moderate; you can't truly fail, only score poorly against Holmes.</x:v>
      </x:c>
      <x:c r="AE746" s="9" t="str">
        <x:v>Per case: a trial quiz, then Holmes explains.</x:v>
      </x:c>
      <x:c r="AF746" s="9" t="str">
        <x:v>Covers three cases.</x:v>
      </x:c>
      <x:c r="AG746" s="9" t="str">
        <x:v>Mac version needs a 68020, System 6.0.7 and 32-bit QuickDraw</x:v>
      </x:c>
      <x:c r="AH746" s="9" t="str">
        <x:v>No (Zojoi's 2010s remakes are separate, verify)</x:v>
      </x:c>
      <x:c r="AI746" s="9" t="str">
        <x:v>Easy</x:v>
      </x:c>
      <x:c r="AJ746" s="9" t="str">
        <x:v>Original disc on a 68k/PowerPC Mac, or SheepShaver/Basilisk II emulation.</x:v>
      </x:c>
      <x:c r="AK746" s="9" t="str">
        <x:v>Mac year assumed to match the DOS release (verify).</x:v>
      </x:c>
      <x:c r="AL746" s="10"/>
      <x:c r="AM746" s="10"/>
      <x:c r="AN746" s="10"/>
      <x:c r="AO746" s="9"/>
      <x:c r="AP746" s="11" t="str">
        <x:f>HYPERLINK("https://www.pricecharting.com/search-products?q=Sherlock+Holmes%3A+Consulting+Detective+Vol.+I+macintosh&amp;type=prices","PriceCharting")</x:f>
        <x:v>PriceCharting</x:v>
      </x:c>
      <x:c r="AQ746" s="9"/>
      <x:c r="AR746" s="9"/>
      <x:c r="AS746" s="9"/>
      <x:c r="AT746" s="9"/>
      <x:c r="AU746" s="9" t="str">
        <x:v>No market</x:v>
      </x:c>
      <x:c r="AV746" s="9" t="str">
        <x:v>Not listed on PriceCharting, whose Macintosh console has only about 110 items (searched 2026-10-25).</x:v>
      </x:c>
      <x:c r="AW746" s="9"/>
      <x:c r="AX746" s="9"/>
      <x:c r="AY746" s="9"/>
      <x:c r="AZ746" s="9"/>
      <x:c r="BA746" s="11" t="str">
        <x:f>HYPERLINK("https://www.mobygames.com/search/?q=Sherlock+Holmes%3A+Consulting+Detective+Vol.+I","MobyGames")</x:f>
        <x:v>MobyGames</x:v>
      </x:c>
      <x:c r="BB746" s="9"/>
      <x:c r="BC746" s="9"/>
      <x:c r="BD746" s="9"/>
      <x:c r="BE746" s="11" t="str">
        <x:f>HYPERLINK("https://en.wikipedia.org/wiki/Sherlock_Holmes:_Consulting_Detective","Wikipedia")</x:f>
        <x:v>Wikipedia</x:v>
      </x:c>
      <x:c r="BF746" s="11" t="str">
        <x:f>HYPERLINK("https://backloggd.com/search/games/Sherlock%20Holmes%3A%20Consulting%20Detective%20Vol.%20I/","Backloggd")</x:f>
        <x:v>Backloggd</x:v>
      </x:c>
      <x:c r="BG746" s="9"/>
      <x:c r="BH746" s="9"/>
      <x:c r="BI746" s="12" t="str">
        <x:v>No</x:v>
      </x:c>
      <x:c r="BJ746" s="12" t="str"/>
      <x:c r="BK746" s="12" t="str">
        <x:v>No</x:v>
      </x:c>
      <x:c r="BL746" s="12" t="str"/>
      <x:c r="BM746" s="12" t="str"/>
      <x:c r="BN746" s="12" t="str"/>
      <x:c r="BO746" s="12" t="str"/>
      <x:c r="BP746" s="12" t="str"/>
      <x:c r="BQ746" s="12" t="str"/>
    </x:row>
    <x:row r="747">
      <x:c r="A747" s="9" t="str">
        <x:v>mac-41</x:v>
      </x:c>
      <x:c r="B747" s="9" t="str">
        <x:v>sherlock-holmes-consulting-detective-vol-ii</x:v>
      </x:c>
      <x:c r="C747" s="9" t="str">
        <x:v>Macintosh</x:v>
      </x:c>
      <x:c r="D747" s="9" t="str">
        <x:v>Sherlock Holmes: Consulting Detective Vol. II</x:v>
      </x:c>
      <x:c r="E747" s="9" t="str">
        <x:v>Sherlock Holmes: Consulting Detective Vol. II</x:v>
      </x:c>
      <x:c r="F747" s="9" t="str">
        <x:v>ICOM Simulations</x:v>
      </x:c>
      <x:c r="G747" s="9" t="str">
        <x:v>ICOM Simulations / Viacom New Media (verify)</x:v>
      </x:c>
      <x:c r="H747" s="9" t="n">
        <x:v>1992</x:v>
      </x:c>
      <x:c r="I747" s="9" t="str">
        <x:v>Yes</x:v>
      </x:c>
      <x:c r="J747" s="9" t="str">
        <x:v>No</x:v>
      </x:c>
      <x:c r="K747" s="9" t="str">
        <x:v>No</x:v>
      </x:c>
      <x:c r="L747" s="9" t="str">
        <x:v>No</x:v>
      </x:c>
      <x:c r="M747" s="9" t="str">
        <x:v>FMV mystery</x:v>
      </x:c>
      <x:c r="N747" s="9" t="str">
        <x:v>Live-action</x:v>
      </x:c>
      <x:c r="O747" s="9" t="n">
        <x:v>8</x:v>
      </x:c>
      <x:c r="P747" s="9" t="str">
        <x:v>FMV adventure</x:v>
      </x:c>
      <x:c r="Q747" s="9" t="str">
        <x:v>Released</x:v>
      </x:c>
      <x:c r="R747" s="9" t="str">
        <x:v>Board game (Sherlock Holmes: Consulting Detective)</x:v>
      </x:c>
      <x:c r="S747" s="9" t="str">
        <x:v>MS-DOS, Sega CD, TurboGrafx-CD, Tandy VIS</x:v>
      </x:c>
      <x:c r="T747" s="9" t="str">
        <x:v>—</x:v>
      </x:c>
      <x:c r="U747" s="9" t="n">
        <x:v>1</x:v>
      </x:c>
      <x:c r="V747" s="9" t="str">
        <x:v>Yes</x:v>
      </x:c>
      <x:c r="W747" s="9" t="str">
        <x:v>Mouse</x:v>
      </x:c>
      <x:c r="X747" s="9" t="str">
        <x:v>Low</x:v>
      </x:c>
      <x:c r="Y747" s="9" t="str"/>
      <x:c r="Z747" s="9" t="str">
        <x:v>1–2 hr per case</x:v>
      </x:c>
      <x:c r="AA747" s="9" t="str">
        <x:v>Interview suspects on video and send Holmes's Baker Street Irregulars out across London.</x:v>
      </x:c>
      <x:c r="AB747" s="9" t="str">
        <x:v>None known</x:v>
      </x:c>
      <x:c r="AC747" s="9" t="str">
        <x:v>Small windowed video, 8-bit color</x:v>
      </x:c>
      <x:c r="AD747" s="9" t="str">
        <x:v>Moderate; you can't truly fail, only score poorly against Holmes.</x:v>
      </x:c>
      <x:c r="AE747" s="9" t="str">
        <x:v>Per case: a trial quiz, then Holmes explains.</x:v>
      </x:c>
      <x:c r="AF747" s="9" t="str">
        <x:v>Covers the lions, the stolen paintings and the Allen murder.</x:v>
      </x:c>
      <x:c r="AG747" s="9" t="str">
        <x:v>Mac version needs a 68020, System 6.0.7 and 32-bit QuickDraw</x:v>
      </x:c>
      <x:c r="AH747" s="9" t="str">
        <x:v>No (this volume); no restored edition verified. The later restoration covers a different volume.</x:v>
      </x:c>
      <x:c r="AI747" s="9" t="str">
        <x:v>Easy</x:v>
      </x:c>
      <x:c r="AJ747" s="9" t="str">
        <x:v>Original disc on the appropriate system or a compatible emulator; no restoration of this volume verified.</x:v>
      </x:c>
      <x:c r="AK747" s="9" t="str">
        <x:v>Mac year assumed to match the DOS release (verify).</x:v>
      </x:c>
      <x:c r="AL747" s="10"/>
      <x:c r="AM747" s="10"/>
      <x:c r="AN747" s="10"/>
      <x:c r="AO747" s="9"/>
      <x:c r="AP747" s="11" t="str">
        <x:f>HYPERLINK("https://www.pricecharting.com/search-products?q=Sherlock+Holmes%3A+Consulting+Detective+Vol.+II+macintosh&amp;type=prices","PriceCharting")</x:f>
        <x:v>PriceCharting</x:v>
      </x:c>
      <x:c r="AQ747" s="9"/>
      <x:c r="AR747" s="9"/>
      <x:c r="AS747" s="9"/>
      <x:c r="AT747" s="9"/>
      <x:c r="AU747" s="9" t="str">
        <x:v>No market</x:v>
      </x:c>
      <x:c r="AV747" s="9" t="str">
        <x:v>Not listed on PriceCharting, whose Macintosh console has only about 110 items (searched 2026-10-25).</x:v>
      </x:c>
      <x:c r="AW747" s="9"/>
      <x:c r="AX747" s="9"/>
      <x:c r="AY747" s="9"/>
      <x:c r="AZ747" s="9"/>
      <x:c r="BA747" s="11" t="str">
        <x:f>HYPERLINK("https://www.mobygames.com/search/?q=Sherlock+Holmes%3A+Consulting+Detective+Vol.+II","MobyGames")</x:f>
        <x:v>MobyGames</x:v>
      </x:c>
      <x:c r="BB747" s="9"/>
      <x:c r="BC747" s="9"/>
      <x:c r="BD747" s="9"/>
      <x:c r="BE747" s="11" t="str">
        <x:f>HYPERLINK("https://en.wikipedia.org/wiki/Sherlock_Holmes:_Consulting_Detective_Vol._II","Wikipedia")</x:f>
        <x:v>Wikipedia</x:v>
      </x:c>
      <x:c r="BF747" s="11" t="str">
        <x:f>HYPERLINK("https://backloggd.com/search/games/Sherlock%20Holmes%3A%20Consulting%20Detective%20Vol.%20II/","Backloggd")</x:f>
        <x:v>Backloggd</x:v>
      </x:c>
      <x:c r="BG747" s="9"/>
      <x:c r="BH747" s="9"/>
      <x:c r="BI747" s="12" t="str">
        <x:v>No</x:v>
      </x:c>
      <x:c r="BJ747" s="12" t="str"/>
      <x:c r="BK747" s="12" t="str">
        <x:v>No</x:v>
      </x:c>
      <x:c r="BL747" s="12" t="str"/>
      <x:c r="BM747" s="12" t="str"/>
      <x:c r="BN747" s="12" t="str"/>
      <x:c r="BO747" s="12" t="str"/>
      <x:c r="BP747" s="12" t="str"/>
      <x:c r="BQ747" s="12" t="str"/>
    </x:row>
    <x:row r="748">
      <x:c r="A748" s="9" t="str">
        <x:v>mac-42</x:v>
      </x:c>
      <x:c r="B748" s="9" t="str">
        <x:v>sherlock-holmes-consulting-detective-vol-iii</x:v>
      </x:c>
      <x:c r="C748" s="9" t="str">
        <x:v>Macintosh</x:v>
      </x:c>
      <x:c r="D748" s="9" t="str">
        <x:v>Sherlock Holmes: Consulting Detective Vol. III</x:v>
      </x:c>
      <x:c r="E748" s="9" t="str">
        <x:v>Sherlock Holmes: Consulting Detective Vol. III</x:v>
      </x:c>
      <x:c r="F748" s="9" t="str">
        <x:v>ICOM Simulations</x:v>
      </x:c>
      <x:c r="G748" s="9" t="str">
        <x:v>ICOM Simulations / Viacom New Media (verify)</x:v>
      </x:c>
      <x:c r="H748" s="9" t="n">
        <x:v>1993</x:v>
      </x:c>
      <x:c r="I748" s="9" t="str">
        <x:v>Yes</x:v>
      </x:c>
      <x:c r="J748" s="9" t="str">
        <x:v>No</x:v>
      </x:c>
      <x:c r="K748" s="9" t="str">
        <x:v>No</x:v>
      </x:c>
      <x:c r="L748" s="9" t="str">
        <x:v>No</x:v>
      </x:c>
      <x:c r="M748" s="9" t="str">
        <x:v>FMV mystery</x:v>
      </x:c>
      <x:c r="N748" s="9" t="str">
        <x:v>Live-action</x:v>
      </x:c>
      <x:c r="O748" s="9" t="n">
        <x:v>8</x:v>
      </x:c>
      <x:c r="P748" s="9" t="str">
        <x:v>FMV adventure</x:v>
      </x:c>
      <x:c r="Q748" s="9" t="str">
        <x:v>Released</x:v>
      </x:c>
      <x:c r="R748" s="9" t="str">
        <x:v>Board game (Sherlock Holmes: Consulting Detective)</x:v>
      </x:c>
      <x:c r="S748" s="9" t="str">
        <x:v>MS-DOS</x:v>
      </x:c>
      <x:c r="T748" s="9" t="str">
        <x:v>—</x:v>
      </x:c>
      <x:c r="U748" s="9" t="n">
        <x:v>1</x:v>
      </x:c>
      <x:c r="V748" s="9" t="str">
        <x:v>Yes</x:v>
      </x:c>
      <x:c r="W748" s="9" t="str">
        <x:v>Mouse</x:v>
      </x:c>
      <x:c r="X748" s="9" t="str">
        <x:v>Low</x:v>
      </x:c>
      <x:c r="Y748" s="9" t="str"/>
      <x:c r="Z748" s="9" t="str">
        <x:v>1–2 hr per case</x:v>
      </x:c>
      <x:c r="AA748" s="9" t="str">
        <x:v>Interview suspects on video and send Holmes's Baker Street Irregulars out across London.</x:v>
      </x:c>
      <x:c r="AB748" s="9" t="str">
        <x:v>None known</x:v>
      </x:c>
      <x:c r="AC748" s="9" t="str">
        <x:v>Small windowed video, 8-bit color</x:v>
      </x:c>
      <x:c r="AD748" s="9" t="str">
        <x:v>Moderate; you can't truly fail, only score poorly against Holmes.</x:v>
      </x:c>
      <x:c r="AE748" s="9" t="str">
        <x:v>Per case: a trial quiz, then Holmes explains.</x:v>
      </x:c>
      <x:c r="AF748" s="9" t="str">
        <x:v>Covers the Tuttle, Mason and Thames murders.</x:v>
      </x:c>
      <x:c r="AG748" s="9" t="str">
        <x:v>Mac version needs a 68020, System 6.0.7 and 32-bit QuickDraw</x:v>
      </x:c>
      <x:c r="AH748" s="9" t="str">
        <x:v>No (this volume); no restored edition verified. The later restoration covers a different volume.</x:v>
      </x:c>
      <x:c r="AI748" s="9" t="str">
        <x:v>Easy</x:v>
      </x:c>
      <x:c r="AJ748" s="9" t="str">
        <x:v>Original disc on the appropriate system or a compatible emulator; no restoration of this volume verified.</x:v>
      </x:c>
      <x:c r="AK748" s="9" t="str">
        <x:v>Mac year assumed to match the DOS release (verify).</x:v>
      </x:c>
      <x:c r="AL748" s="10"/>
      <x:c r="AM748" s="10"/>
      <x:c r="AN748" s="10"/>
      <x:c r="AO748" s="9"/>
      <x:c r="AP748" s="11" t="str">
        <x:f>HYPERLINK("https://www.pricecharting.com/search-products?q=Sherlock+Holmes%3A+Consulting+Detective+Vol.+III+macintosh&amp;type=prices","PriceCharting")</x:f>
        <x:v>PriceCharting</x:v>
      </x:c>
      <x:c r="AQ748" s="9"/>
      <x:c r="AR748" s="9"/>
      <x:c r="AS748" s="9"/>
      <x:c r="AT748" s="9"/>
      <x:c r="AU748" s="9" t="str">
        <x:v>No market</x:v>
      </x:c>
      <x:c r="AV748" s="9" t="str">
        <x:v>Not listed on PriceCharting, whose Macintosh console has only about 110 items (searched 2026-10-25).</x:v>
      </x:c>
      <x:c r="AW748" s="9"/>
      <x:c r="AX748" s="9"/>
      <x:c r="AY748" s="9"/>
      <x:c r="AZ748" s="9"/>
      <x:c r="BA748" s="11" t="str">
        <x:f>HYPERLINK("https://mobygames.com/game/22096","MobyGames")</x:f>
        <x:v>MobyGames</x:v>
      </x:c>
      <x:c r="BB748" s="9"/>
      <x:c r="BC748" s="9"/>
      <x:c r="BD748" s="9"/>
      <x:c r="BE748" s="11" t="str">
        <x:f>HYPERLINK("https://en.wikipedia.org/wiki/Sherlock_Holmes:_Consulting_Detective_Vol._III","Wikipedia")</x:f>
        <x:v>Wikipedia</x:v>
      </x:c>
      <x:c r="BF748" s="11" t="str">
        <x:f>HYPERLINK("https://backloggd.com/search/games/Sherlock%20Holmes%3A%20Consulting%20Detective%20Vol.%20III/","Backloggd")</x:f>
        <x:v>Backloggd</x:v>
      </x:c>
      <x:c r="BG748" s="9"/>
      <x:c r="BH748" s="9"/>
      <x:c r="BI748" s="12" t="str">
        <x:v>No</x:v>
      </x:c>
      <x:c r="BJ748" s="12" t="str"/>
      <x:c r="BK748" s="12" t="str">
        <x:v>No</x:v>
      </x:c>
      <x:c r="BL748" s="12" t="str"/>
      <x:c r="BM748" s="12" t="str"/>
      <x:c r="BN748" s="12" t="str"/>
      <x:c r="BO748" s="12" t="str"/>
      <x:c r="BP748" s="12" t="str"/>
      <x:c r="BQ748" s="12" t="str"/>
    </x:row>
    <x:row r="749">
      <x:c r="A749" s="9" t="str">
        <x:v>mac-43</x:v>
      </x:c>
      <x:c r="B749" s="9" t="str">
        <x:v>who-killed-sam-rupert</x:v>
      </x:c>
      <x:c r="C749" s="9" t="str">
        <x:v>Macintosh</x:v>
      </x:c>
      <x:c r="D749" s="9" t="str">
        <x:v>Who Killed Sam Rupert?</x:v>
      </x:c>
      <x:c r="E749" s="9" t="str">
        <x:v>Virtual Murder 1</x:v>
      </x:c>
      <x:c r="F749" s="9" t="str">
        <x:v>Creative Multimedia</x:v>
      </x:c>
      <x:c r="G749" s="9" t="str">
        <x:v>Creative Multimedia</x:v>
      </x:c>
      <x:c r="H749" s="9" t="n">
        <x:v>1993</x:v>
      </x:c>
      <x:c r="I749" s="9" t="str">
        <x:v>Yes</x:v>
      </x:c>
      <x:c r="J749" s="9" t="str">
        <x:v>No</x:v>
      </x:c>
      <x:c r="K749" s="9" t="str">
        <x:v>No</x:v>
      </x:c>
      <x:c r="L749" s="9" t="str">
        <x:v>No</x:v>
      </x:c>
      <x:c r="M749" s="9" t="str">
        <x:v>FMV murder mystery</x:v>
      </x:c>
      <x:c r="N749" s="9" t="str">
        <x:v>Live-action</x:v>
      </x:c>
      <x:c r="O749" s="9" t="n">
        <x:v>6</x:v>
      </x:c>
      <x:c r="P749" s="9" t="str">
        <x:v>FMV adventure</x:v>
      </x:c>
      <x:c r="Q749" s="9" t="str">
        <x:v>Released</x:v>
      </x:c>
      <x:c r="R749" s="9" t="str">
        <x:v>Original production</x:v>
      </x:c>
      <x:c r="S749" s="9" t="str">
        <x:v>Windows</x:v>
      </x:c>
      <x:c r="T749" s="9" t="str">
        <x:v>—</x:v>
      </x:c>
      <x:c r="U749" s="9" t="n">
        <x:v>1</x:v>
      </x:c>
      <x:c r="V749" s="9" t="str">
        <x:v>Yes</x:v>
      </x:c>
      <x:c r="W749" s="9" t="str">
        <x:v>Mouse</x:v>
      </x:c>
      <x:c r="X749" s="9" t="str">
        <x:v>Low</x:v>
      </x:c>
      <x:c r="Y749" s="9" t="str"/>
      <x:c r="Z749" s="9" t="str">
        <x:v>1–2 hr</x:v>
      </x:c>
      <x:c r="AA749" s="9" t="str">
        <x:v>A Her Story ancestor: interview suspects on video before the press conference deadline.</x:v>
      </x:c>
      <x:c r="AB749" s="9" t="str">
        <x:v>None known</x:v>
      </x:c>
      <x:c r="AC749" s="9" t="str">
        <x:v>Small windowed video</x:v>
      </x:c>
      <x:c r="AD749" s="9" t="str">
        <x:v>Timed; take notes, it often takes several tries.</x:v>
      </x:c>
      <x:c r="AE749" s="9" t="str">
        <x:v>Present your case at a press conference; right or wrong.</x:v>
      </x:c>
      <x:c r="AF749" s="9" t="str">
        <x:v>First in the Virtual Murder series; Macworld gave it 4/5 and it won a New Media Invision Award.</x:v>
      </x:c>
      <x:c r="AG749" s="9" t="str"/>
      <x:c r="AH749" s="9" t="str">
        <x:v>No</x:v>
      </x:c>
      <x:c r="AI749" s="9" t="str">
        <x:v>Easy</x:v>
      </x:c>
      <x:c r="AJ749" s="9" t="str">
        <x:v>Original disc on a 68k/PowerPC Mac, or SheepShaver/Basilisk II emulation.</x:v>
      </x:c>
      <x:c r="AK749" s="9" t="str"/>
      <x:c r="AL749" s="10"/>
      <x:c r="AM749" s="10"/>
      <x:c r="AN749" s="10"/>
      <x:c r="AO749" s="9"/>
      <x:c r="AP749" s="11" t="str">
        <x:f>HYPERLINK("https://www.pricecharting.com/search-products?q=Who+Killed+Sam+Rupert%3F+macintosh&amp;type=prices","PriceCharting")</x:f>
        <x:v>PriceCharting</x:v>
      </x:c>
      <x:c r="AQ749" s="9"/>
      <x:c r="AR749" s="9"/>
      <x:c r="AS749" s="9"/>
      <x:c r="AT749" s="9"/>
      <x:c r="AU749" s="9" t="str">
        <x:v>No market</x:v>
      </x:c>
      <x:c r="AV749" s="9" t="str">
        <x:v>Not listed on PriceCharting, whose Macintosh console has only about 110 items (searched 2026-10-25).</x:v>
      </x:c>
      <x:c r="AW749" s="9"/>
      <x:c r="AX749" s="9"/>
      <x:c r="AY749" s="9"/>
      <x:c r="AZ749" s="9"/>
      <x:c r="BA749" s="11" t="str">
        <x:f>HYPERLINK("https://www.mobygames.com/search/?q=Who+Killed+Sam+Rupert%3F","MobyGames")</x:f>
        <x:v>MobyGames</x:v>
      </x:c>
      <x:c r="BB749" s="9"/>
      <x:c r="BC749" s="9"/>
      <x:c r="BD749" s="9"/>
      <x:c r="BE749" s="11" t="str">
        <x:f>HYPERLINK("https://en.wikipedia.org/wiki/Who_Killed_Sam_Rupert%3F","Wikipedia")</x:f>
        <x:v>Wikipedia</x:v>
      </x:c>
      <x:c r="BF749" s="11" t="str">
        <x:f>HYPERLINK("https://backloggd.com/search/games/Who%20Killed%20Sam%20Rupert%3F/","Backloggd")</x:f>
        <x:v>Backloggd</x:v>
      </x:c>
      <x:c r="BG749" s="9"/>
      <x:c r="BH749" s="9"/>
      <x:c r="BI749" s="12" t="str">
        <x:v>No</x:v>
      </x:c>
      <x:c r="BJ749" s="12" t="str"/>
      <x:c r="BK749" s="12" t="str">
        <x:v>No</x:v>
      </x:c>
      <x:c r="BL749" s="12" t="str"/>
      <x:c r="BM749" s="12" t="str"/>
      <x:c r="BN749" s="12" t="str"/>
      <x:c r="BO749" s="12" t="str"/>
      <x:c r="BP749" s="12" t="str"/>
      <x:c r="BQ749" s="12" t="str"/>
    </x:row>
    <x:row r="750">
      <x:c r="A750" s="9" t="str">
        <x:v>mac-44</x:v>
      </x:c>
      <x:c r="B750" s="9" t="str">
        <x:v>midnight-stranger</x:v>
      </x:c>
      <x:c r="C750" s="9" t="str">
        <x:v>Macintosh</x:v>
      </x:c>
      <x:c r="D750" s="9" t="str">
        <x:v>Midnight Stranger</x:v>
      </x:c>
      <x:c r="E750" s="9" t="str"/>
      <x:c r="F750" s="9" t="str">
        <x:v>Animatics Multimedia</x:v>
      </x:c>
      <x:c r="G750" s="9" t="str">
        <x:v>Gazelle Technologies</x:v>
      </x:c>
      <x:c r="H750" s="9" t="n">
        <x:v>1993</x:v>
      </x:c>
      <x:c r="I750" s="9" t="str">
        <x:v>Yes</x:v>
      </x:c>
      <x:c r="J750" s="9" t="str">
        <x:v>No</x:v>
      </x:c>
      <x:c r="K750" s="9" t="str">
        <x:v>No</x:v>
      </x:c>
      <x:c r="L750" s="9" t="str">
        <x:v>No</x:v>
      </x:c>
      <x:c r="M750" s="9" t="str">
        <x:v>Social simulation</x:v>
      </x:c>
      <x:c r="N750" s="9" t="str">
        <x:v>Live-action</x:v>
      </x:c>
      <x:c r="O750" s="9" t="n">
        <x:v>7</x:v>
      </x:c>
      <x:c r="P750" s="9" t="str">
        <x:v>Interactive movie</x:v>
      </x:c>
      <x:c r="Q750" s="9" t="str">
        <x:v>Released</x:v>
      </x:c>
      <x:c r="R750" s="9" t="str">
        <x:v>Original production</x:v>
      </x:c>
      <x:c r="S750" s="9" t="str">
        <x:v>PC (1994)</x:v>
      </x:c>
      <x:c r="T750" s="9" t="str">
        <x:v>Caitlin Fisher, Randy Kay, Alfredo Coppola</x:v>
      </x:c>
      <x:c r="U750" s="9" t="n">
        <x:v>1</x:v>
      </x:c>
      <x:c r="V750" s="9" t="str">
        <x:v>Unknown — verify</x:v>
      </x:c>
      <x:c r="W750" s="9" t="str">
        <x:v>Mouse</x:v>
      </x:c>
      <x:c r="X750" s="9" t="str">
        <x:v>Low</x:v>
      </x:c>
      <x:c r="Y750" s="9" t="str"/>
      <x:c r="Z750" s="9" t="str">
        <x:v>1 hr</x:v>
      </x:c>
      <x:c r="AA750" s="9" t="str">
        <x:v>Chat up strangers in a nighttime city with a red-to-green 'Mood Bar' that sets your tone.</x:v>
      </x:c>
      <x:c r="AB750" s="9" t="str">
        <x:v>None known</x:v>
      </x:c>
      <x:c r="AC750" s="9" t="str">
        <x:v>Small embedded head-and-shoulders video frames</x:v>
      </x:c>
      <x:c r="AD750" s="9" t="str">
        <x:v>Light; depends on keeping conversations alive.</x:v>
      </x:c>
      <x:c r="AE750" s="9" t="str">
        <x:v>Several, triggered by relationships after about an hour.</x:v>
      </x:c>
      <x:c r="AF750" s="9" t="str">
        <x:v>Shot on a Sony Hi-8 handycam in 1993 with improvised performances; won a Macromedia People's Choice Award.</x:v>
      </x:c>
      <x:c r="AG750" s="9" t="str">
        <x:v>Sold only by mail order; never reprinted</x:v>
      </x:c>
      <x:c r="AH750" s="9" t="str">
        <x:v>No</x:v>
      </x:c>
      <x:c r="AI750" s="9" t="str">
        <x:v>Emulation only</x:v>
      </x:c>
      <x:c r="AJ750" s="9" t="str">
        <x:v>Original disc on a 68k/PowerPC Mac, or SheepShaver/Basilisk II emulation.</x:v>
      </x:c>
      <x:c r="AK750" s="9" t="str">
        <x:v>Adults-only rating, waist-up nudity. Mac was the first release (Nov 1993).</x:v>
      </x:c>
      <x:c r="AL750" s="10"/>
      <x:c r="AM750" s="10"/>
      <x:c r="AN750" s="10"/>
      <x:c r="AO750" s="9"/>
      <x:c r="AP750" s="11" t="str">
        <x:f>HYPERLINK("https://www.pricecharting.com/search-products?q=Midnight+Stranger+macintosh&amp;type=prices","PriceCharting")</x:f>
        <x:v>PriceCharting</x:v>
      </x:c>
      <x:c r="AQ750" s="9"/>
      <x:c r="AR750" s="9"/>
      <x:c r="AS750" s="9"/>
      <x:c r="AT750" s="9"/>
      <x:c r="AU750" s="9" t="str">
        <x:v>No market</x:v>
      </x:c>
      <x:c r="AV750" s="9" t="str">
        <x:v>Not listed on PriceCharting, whose Macintosh console has only about 110 items (searched 2026-10-25).</x:v>
      </x:c>
      <x:c r="AW750" s="9"/>
      <x:c r="AX750" s="9"/>
      <x:c r="AY750" s="9"/>
      <x:c r="AZ750" s="9"/>
      <x:c r="BA750" s="11" t="str">
        <x:f>HYPERLINK("https://www.mobygames.com/search/?q=Midnight+Stranger","MobyGames")</x:f>
        <x:v>MobyGames</x:v>
      </x:c>
      <x:c r="BB750" s="9"/>
      <x:c r="BC750" s="9"/>
      <x:c r="BD750" s="9"/>
      <x:c r="BE750" s="11" t="str">
        <x:f>HYPERLINK("https://en.wikipedia.org/wiki/Midnight_Stranger","Wikipedia")</x:f>
        <x:v>Wikipedia</x:v>
      </x:c>
      <x:c r="BF750" s="11" t="str">
        <x:f>HYPERLINK("https://backloggd.com/search/games/Midnight%20Stranger/","Backloggd")</x:f>
        <x:v>Backloggd</x:v>
      </x:c>
      <x:c r="BG750" s="9"/>
      <x:c r="BH750" s="9"/>
      <x:c r="BI750" s="12" t="str">
        <x:v>No</x:v>
      </x:c>
      <x:c r="BJ750" s="12" t="str"/>
      <x:c r="BK750" s="12" t="str">
        <x:v>No</x:v>
      </x:c>
      <x:c r="BL750" s="12" t="str"/>
      <x:c r="BM750" s="12" t="str"/>
      <x:c r="BN750" s="12" t="str"/>
      <x:c r="BO750" s="12" t="str"/>
      <x:c r="BP750" s="12" t="str"/>
      <x:c r="BQ750" s="12" t="str"/>
    </x:row>
    <x:row r="751">
      <x:c r="A751" s="9" t="str">
        <x:v>mac-45</x:v>
      </x:c>
      <x:c r="B751" s="9" t="str">
        <x:v>blown-away</x:v>
      </x:c>
      <x:c r="C751" s="9" t="str">
        <x:v>Macintosh</x:v>
      </x:c>
      <x:c r="D751" s="9" t="str">
        <x:v>Blown Away</x:v>
      </x:c>
      <x:c r="E751" s="9" t="str"/>
      <x:c r="F751" s="9" t="str">
        <x:v>Imagination Pilots</x:v>
      </x:c>
      <x:c r="G751" s="9" t="str">
        <x:v>IVI Publishing</x:v>
      </x:c>
      <x:c r="H751" s="9" t="n">
        <x:v>1994</x:v>
      </x:c>
      <x:c r="I751" s="9" t="str">
        <x:v>Yes</x:v>
      </x:c>
      <x:c r="J751" s="9" t="str">
        <x:v>No</x:v>
      </x:c>
      <x:c r="K751" s="9" t="str">
        <x:v>No</x:v>
      </x:c>
      <x:c r="L751" s="9" t="str">
        <x:v>No</x:v>
      </x:c>
      <x:c r="M751" s="9" t="str">
        <x:v>Puzzle / FMV adventure</x:v>
      </x:c>
      <x:c r="N751" s="9" t="str">
        <x:v>Live-action</x:v>
      </x:c>
      <x:c r="O751" s="9" t="n">
        <x:v>6</x:v>
      </x:c>
      <x:c r="P751" s="9" t="str">
        <x:v>FMV adventure</x:v>
      </x:c>
      <x:c r="Q751" s="9" t="str">
        <x:v>Released</x:v>
      </x:c>
      <x:c r="R751" s="9" t="str">
        <x:v>Film license (Blown Away, 1994)</x:v>
      </x:c>
      <x:c r="S751" s="9" t="str">
        <x:v>Windows</x:v>
      </x:c>
      <x:c r="T751" s="9" t="str">
        <x:v>Jimmie F. Skaggs (Justus)</x:v>
      </x:c>
      <x:c r="U751" s="9" t="n">
        <x:v>1</x:v>
      </x:c>
      <x:c r="V751" s="9" t="str">
        <x:v>Yes</x:v>
      </x:c>
      <x:c r="W751" s="9" t="str">
        <x:v>Mouse</x:v>
      </x:c>
      <x:c r="X751" s="9" t="str">
        <x:v>Med</x:v>
      </x:c>
      <x:c r="Y751" s="9" t="str">
        <x:v>MGM film license</x:v>
      </x:c>
      <x:c r="Z751" s="9" t="str">
        <x:v>3–5 hr</x:v>
      </x:c>
      <x:c r="AA751" s="9" t="str">
        <x:v>22 bomb-defusing puzzles between taunts from a mad Irish bomber.</x:v>
      </x:c>
      <x:c r="AB751" s="9" t="str">
        <x:v>None known</x:v>
      </x:c>
      <x:c r="AC751" s="9" t="str">
        <x:v>Windowed live-action video</x:v>
      </x:c>
      <x:c r="AD751" s="9" t="str">
        <x:v>Some very hard puzzles; practice mode helps.</x:v>
      </x:c>
      <x:c r="AE751" s="9" t="str">
        <x:v>Single ending (verify).</x:v>
      </x:c>
      <x:c r="AF751" s="9" t="str">
        <x:v>MGM Interactive's first release; PC Gamer gave it 79%.</x:v>
      </x:c>
      <x:c r="AG751" s="9" t="str"/>
      <x:c r="AH751" s="9" t="str">
        <x:v>No</x:v>
      </x:c>
      <x:c r="AI751" s="9" t="str">
        <x:v>Easy</x:v>
      </x:c>
      <x:c r="AJ751" s="9" t="str">
        <x:v>Original disc on a 68k/PowerPC Mac, or SheepShaver/Basilisk II emulation.</x:v>
      </x:c>
      <x:c r="AK751" s="9" t="str">
        <x:v>Mac port exists per fan site; Mac year not confirmed (verify).</x:v>
      </x:c>
      <x:c r="AL751" s="10"/>
      <x:c r="AM751" s="10"/>
      <x:c r="AN751" s="10"/>
      <x:c r="AO751" s="9"/>
      <x:c r="AP751" s="11" t="str">
        <x:f>HYPERLINK("https://www.pricecharting.com/search-products?q=Blown+Away+macintosh&amp;type=prices","PriceCharting")</x:f>
        <x:v>PriceCharting</x:v>
      </x:c>
      <x:c r="AQ751" s="9"/>
      <x:c r="AR751" s="9"/>
      <x:c r="AS751" s="9"/>
      <x:c r="AT751" s="9"/>
      <x:c r="AU751" s="9" t="str">
        <x:v>No market</x:v>
      </x:c>
      <x:c r="AV751" s="9" t="str">
        <x:v>Not listed on PriceCharting, whose Macintosh console has only about 110 items (searched 2026-10-25).</x:v>
      </x:c>
      <x:c r="AW751" s="9"/>
      <x:c r="AX751" s="9"/>
      <x:c r="AY751" s="9"/>
      <x:c r="AZ751" s="9"/>
      <x:c r="BA751" s="11" t="str">
        <x:f>HYPERLINK("https://www.mobygames.com/search/?q=Blown+Away","MobyGames")</x:f>
        <x:v>MobyGames</x:v>
      </x:c>
      <x:c r="BB751" s="9"/>
      <x:c r="BC751" s="9"/>
      <x:c r="BD751" s="9"/>
      <x:c r="BE751" s="11" t="str">
        <x:f>HYPERLINK("https://en.wikipedia.org/wiki/Blown_Away_(video_game)","Wikipedia")</x:f>
        <x:v>Wikipedia</x:v>
      </x:c>
      <x:c r="BF751" s="11" t="str">
        <x:f>HYPERLINK("https://backloggd.com/search/games/Blown%20Away/","Backloggd")</x:f>
        <x:v>Backloggd</x:v>
      </x:c>
      <x:c r="BG751" s="9"/>
      <x:c r="BH751" s="9"/>
      <x:c r="BI751" s="12" t="str">
        <x:v>No</x:v>
      </x:c>
      <x:c r="BJ751" s="12" t="str"/>
      <x:c r="BK751" s="12" t="str">
        <x:v>No</x:v>
      </x:c>
      <x:c r="BL751" s="12" t="str"/>
      <x:c r="BM751" s="12" t="str"/>
      <x:c r="BN751" s="12" t="str"/>
      <x:c r="BO751" s="12" t="str"/>
      <x:c r="BP751" s="12" t="str"/>
      <x:c r="BQ751" s="12" t="str"/>
    </x:row>
    <x:row r="752">
      <x:c r="A752" s="9" t="str">
        <x:v>mac-46</x:v>
      </x:c>
      <x:c r="B752" s="9" t="str">
        <x:v>wrath-of-the-gods</x:v>
      </x:c>
      <x:c r="C752" s="9" t="str">
        <x:v>Macintosh</x:v>
      </x:c>
      <x:c r="D752" s="9" t="str">
        <x:v>Wrath of the Gods</x:v>
      </x:c>
      <x:c r="E752" s="9" t="str"/>
      <x:c r="F752" s="9" t="str">
        <x:v>Luminaria</x:v>
      </x:c>
      <x:c r="G752" s="9" t="str">
        <x:v>Luminaria / Maxis (dist.)</x:v>
      </x:c>
      <x:c r="H752" s="9" t="n">
        <x:v>1994</x:v>
      </x:c>
      <x:c r="I752" s="9" t="str">
        <x:v>Yes</x:v>
      </x:c>
      <x:c r="J752" s="9" t="str">
        <x:v>No</x:v>
      </x:c>
      <x:c r="K752" s="9" t="str">
        <x:v>No</x:v>
      </x:c>
      <x:c r="L752" s="9" t="str">
        <x:v>No</x:v>
      </x:c>
      <x:c r="M752" s="9" t="str">
        <x:v>Adventure</x:v>
      </x:c>
      <x:c r="N752" s="9" t="str">
        <x:v>Live-action</x:v>
      </x:c>
      <x:c r="O752" s="9" t="n">
        <x:v>4</x:v>
      </x:c>
      <x:c r="P752" s="9" t="str">
        <x:v>FMV adventure</x:v>
      </x:c>
      <x:c r="Q752" s="9" t="str">
        <x:v>Released</x:v>
      </x:c>
      <x:c r="R752" s="9" t="str">
        <x:v>Greek mythology, original production</x:v>
      </x:c>
      <x:c r="S752" s="9" t="str">
        <x:v>Windows</x:v>
      </x:c>
      <x:c r="T752" s="9" t="str">
        <x:v>—</x:v>
      </x:c>
      <x:c r="U752" s="9" t="n">
        <x:v>1</x:v>
      </x:c>
      <x:c r="V752" s="9" t="str">
        <x:v>Yes</x:v>
      </x:c>
      <x:c r="W752" s="9" t="str">
        <x:v>Mouse</x:v>
      </x:c>
      <x:c r="X752" s="9" t="str">
        <x:v>Low</x:v>
      </x:c>
      <x:c r="Y752" s="9" t="str"/>
      <x:c r="Z752" s="9" t="str">
        <x:v>6–10 hr</x:v>
      </x:c>
      <x:c r="AA752" s="9" t="str">
        <x:v>Digitized live actors wander through Greek myth in a Harryhausen-style adventure.</x:v>
      </x:c>
      <x:c r="AB752" s="9" t="str">
        <x:v>None known</x:v>
      </x:c>
      <x:c r="AC752" s="9" t="str">
        <x:v>Digitized live-action sprites over photographic backgrounds</x:v>
      </x:c>
      <x:c r="AD752" s="9" t="str">
        <x:v>Moderate; no fast travel.</x:v>
      </x:c>
      <x:c r="AE752" s="9" t="str">
        <x:v>Single ending.</x:v>
      </x:c>
      <x:c r="AF752" s="9" t="str">
        <x:v>Billboard called it a landmark live-action game; includes a Greek art encyclopedia.</x:v>
      </x:c>
      <x:c r="AG752" s="9" t="str"/>
      <x:c r="AH752" s="9" t="str">
        <x:v>No</x:v>
      </x:c>
      <x:c r="AI752" s="9" t="str">
        <x:v>Easy</x:v>
      </x:c>
      <x:c r="AJ752" s="9" t="str">
        <x:v>Original disc on a 68k/PowerPC Mac, or SheepShaver/Basilisk II emulation.</x:v>
      </x:c>
      <x:c r="AK752" s="9" t="str"/>
      <x:c r="AL752" s="10"/>
      <x:c r="AM752" s="10"/>
      <x:c r="AN752" s="10"/>
      <x:c r="AO752" s="9"/>
      <x:c r="AP752" s="11" t="str">
        <x:f>HYPERLINK("https://www.pricecharting.com/search-products?q=Wrath+of+the+Gods+macintosh&amp;type=prices","PriceCharting")</x:f>
        <x:v>PriceCharting</x:v>
      </x:c>
      <x:c r="AQ752" s="9"/>
      <x:c r="AR752" s="9"/>
      <x:c r="AS752" s="9"/>
      <x:c r="AT752" s="9"/>
      <x:c r="AU752" s="9" t="str">
        <x:v>No market</x:v>
      </x:c>
      <x:c r="AV752" s="9" t="str">
        <x:v>Not listed on PriceCharting, whose Macintosh console has only about 110 items (searched 2026-10-25).</x:v>
      </x:c>
      <x:c r="AW752" s="9"/>
      <x:c r="AX752" s="9"/>
      <x:c r="AY752" s="9"/>
      <x:c r="AZ752" s="9"/>
      <x:c r="BA752" s="11" t="str">
        <x:f>HYPERLINK("https://www.mobygames.com/game/2081/wrath-of-the-gods/","MobyGames")</x:f>
        <x:v>MobyGames</x:v>
      </x:c>
      <x:c r="BB752" s="9"/>
      <x:c r="BC752" s="9"/>
      <x:c r="BD752" s="9"/>
      <x:c r="BE752" s="11" t="str">
        <x:f>HYPERLINK("https://en.wikipedia.org/wiki/Wrath_of_the_Gods","Wikipedia")</x:f>
        <x:v>Wikipedia</x:v>
      </x:c>
      <x:c r="BF752" s="11" t="str">
        <x:f>HYPERLINK("https://backloggd.com/search/games/Wrath%20of%20the%20Gods/","Backloggd")</x:f>
        <x:v>Backloggd</x:v>
      </x:c>
      <x:c r="BG752" s="9"/>
      <x:c r="BH752" s="9"/>
      <x:c r="BI752" s="12" t="str">
        <x:v>No</x:v>
      </x:c>
      <x:c r="BJ752" s="12" t="str"/>
      <x:c r="BK752" s="12" t="str">
        <x:v>No</x:v>
      </x:c>
      <x:c r="BL752" s="12" t="str"/>
      <x:c r="BM752" s="12" t="str"/>
      <x:c r="BN752" s="12" t="str"/>
      <x:c r="BO752" s="12" t="str"/>
      <x:c r="BP752" s="12" t="str"/>
      <x:c r="BQ752" s="12" t="str"/>
    </x:row>
    <x:row r="753">
      <x:c r="A753" s="9" t="str">
        <x:v>mac-47</x:v>
      </x:c>
      <x:c r="B753" s="9" t="str">
        <x:v>titanic-adventure-out-of-time</x:v>
      </x:c>
      <x:c r="C753" s="9" t="str">
        <x:v>Macintosh</x:v>
      </x:c>
      <x:c r="D753" s="9" t="str">
        <x:v>Titanic: Adventure Out of Time</x:v>
      </x:c>
      <x:c r="E753" s="9" t="str"/>
      <x:c r="F753" s="9" t="str">
        <x:v>CyberFlix</x:v>
      </x:c>
      <x:c r="G753" s="9" t="str">
        <x:v>GTE Entertainment (NA), Europress (UK)</x:v>
      </x:c>
      <x:c r="H753" s="9" t="n">
        <x:v>1996</x:v>
      </x:c>
      <x:c r="I753" s="9" t="str">
        <x:v>Yes</x:v>
      </x:c>
      <x:c r="J753" s="9" t="str">
        <x:v>No</x:v>
      </x:c>
      <x:c r="K753" s="9" t="str">
        <x:v>Yes</x:v>
      </x:c>
      <x:c r="L753" s="9" t="str">
        <x:v>No</x:v>
      </x:c>
      <x:c r="M753" s="9" t="str">
        <x:v>Adventure</x:v>
      </x:c>
      <x:c r="N753" s="9" t="str">
        <x:v>Pre-rendered CG</x:v>
      </x:c>
      <x:c r="O753" s="9" t="n">
        <x:v>4</x:v>
      </x:c>
      <x:c r="P753" s="9" t="str">
        <x:v>Pre-rendered CG</x:v>
      </x:c>
      <x:c r="Q753" s="9" t="str">
        <x:v>Released</x:v>
      </x:c>
      <x:c r="R753" s="9" t="str">
        <x:v>Original production</x:v>
      </x:c>
      <x:c r="S753" s="9" t="str">
        <x:v>Windows</x:v>
      </x:c>
      <x:c r="T753" s="9" t="str">
        <x:v>—</x:v>
      </x:c>
      <x:c r="U753" s="9" t="n">
        <x:v>2</x:v>
      </x:c>
      <x:c r="V753" s="9" t="str">
        <x:v>Yes</x:v>
      </x:c>
      <x:c r="W753" s="9" t="str">
        <x:v>Mouse</x:v>
      </x:c>
      <x:c r="X753" s="9" t="str">
        <x:v>Low</x:v>
      </x:c>
      <x:c r="Y753" s="9" t="str"/>
      <x:c r="Z753" s="9" t="str">
        <x:v>6–8 hr</x:v>
      </x:c>
      <x:c r="AA753" s="9" t="str">
        <x:v>Stop a world war from the deck of the Titanic before she sinks.</x:v>
      </x:c>
      <x:c r="AB753" s="9" t="str">
        <x:v>None known</x:v>
      </x:c>
      <x:c r="AC753" s="9" t="str">
        <x:v>Real-time 3D ship with animated character conversations</x:v>
      </x:c>
      <x:c r="AD753" s="9" t="str">
        <x:v>Moderate; real-time sinking at the end.</x:v>
      </x:c>
      <x:c r="AE753" s="9" t="str">
        <x:v>Eight endings, one true success.</x:v>
      </x:c>
      <x:c r="AF753" s="9" t="str">
        <x:v>Won Inside Mac Games' Adventure Game of the Year; sales passed 1.5 million after Cameron's film.</x:v>
      </x:c>
      <x:c r="AG753" s="9" t="str">
        <x:v>Hybrid Mac/PC disc (verify); 1997 CUC reprint and Barracuda rerelease</x:v>
      </x:c>
      <x:c r="AH753" s="9" t="str">
        <x:v>Yes (GOG, 2017; Steam, verify)</x:v>
      </x:c>
      <x:c r="AI753" s="9" t="str">
        <x:v>Easy</x:v>
      </x:c>
      <x:c r="AJ753" s="9" t="str">
        <x:v>GOG re-release (check Mac support); original disc in SheepShaver.</x:v>
      </x:c>
      <x:c r="AK753" s="9" t="str">
        <x:v>Character conversations are animated, not live-action FMV.</x:v>
      </x:c>
      <x:c r="AL753" s="10"/>
      <x:c r="AM753" s="10"/>
      <x:c r="AN753" s="10"/>
      <x:c r="AO753" s="9"/>
      <x:c r="AP753" s="11" t="str">
        <x:f>HYPERLINK("https://www.pricecharting.com/search-products?q=Titanic%3A+Adventure+Out+of+Time+macintosh&amp;type=prices","PriceCharting")</x:f>
        <x:v>PriceCharting</x:v>
      </x:c>
      <x:c r="AQ753" s="9"/>
      <x:c r="AR753" s="9"/>
      <x:c r="AS753" s="9"/>
      <x:c r="AT753" s="9"/>
      <x:c r="AU753" s="9" t="str">
        <x:v>No market</x:v>
      </x:c>
      <x:c r="AV753" s="9" t="str">
        <x:v>Not listed on PriceCharting, whose Macintosh console has only about 110 items (searched 2026-10-25). The PC version is on Steam ($5.99).</x:v>
      </x:c>
      <x:c r="AW753" s="9"/>
      <x:c r="AX753" s="9"/>
      <x:c r="AY753" s="9"/>
      <x:c r="AZ753" s="9" t="str">
        <x:v>3.8</x:v>
      </x:c>
      <x:c r="BA753" s="11" t="str">
        <x:f>HYPERLINK("https://www.mobygames.com/search/?q=Titanic%3A+Adventure+Out+of+Time","MobyGames")</x:f>
        <x:v>MobyGames</x:v>
      </x:c>
      <x:c r="BB753" s="9" t="str">
        <x:v>90%</x:v>
      </x:c>
      <x:c r="BC753" s="9" t="str">
        <x:v>average of 2 reviews on Wikipedia (Inside Mac Games, MacHome Journal)</x:v>
      </x:c>
      <x:c r="BD753" s="9" t="str">
        <x:f>HYPERLINK("https://en.wikipedia.org/wiki/Titanic%3A_Adventure_Out_of_Time","Source")</x:f>
        <x:v>Source</x:v>
      </x:c>
      <x:c r="BE753" s="11" t="str">
        <x:f>HYPERLINK("https://en.wikipedia.org/wiki/Titanic:_Adventure_Out_of_Time","Wikipedia")</x:f>
        <x:v>Wikipedia</x:v>
      </x:c>
      <x:c r="BF753" s="11" t="str">
        <x:f>HYPERLINK("https://backloggd.com/search/games/Titanic%3A%20Adventure%20Out%20of%20Time/","Backloggd")</x:f>
        <x:v>Backloggd</x:v>
      </x:c>
      <x:c r="BG753" s="9"/>
      <x:c r="BH753" s="9"/>
      <x:c r="BI753" s="12" t="str">
        <x:v>No</x:v>
      </x:c>
      <x:c r="BJ753" s="12" t="str"/>
      <x:c r="BK753" s="12" t="str">
        <x:v>No</x:v>
      </x:c>
      <x:c r="BL753" s="12" t="str"/>
      <x:c r="BM753" s="12" t="str"/>
      <x:c r="BN753" s="12" t="str"/>
      <x:c r="BO753" s="12" t="str"/>
      <x:c r="BP753" s="12" t="str"/>
      <x:c r="BQ753" s="12" t="str"/>
    </x:row>
    <x:row r="754">
      <x:c r="A754" s="9" t="str">
        <x:v>mac-48</x:v>
      </x:c>
      <x:c r="B754" s="9" t="str">
        <x:v>dragons-lair</x:v>
      </x:c>
      <x:c r="C754" s="9" t="str">
        <x:v>Macintosh</x:v>
      </x:c>
      <x:c r="D754" s="9" t="str">
        <x:v>Dragon's Lair</x:v>
      </x:c>
      <x:c r="E754" s="9" t="str"/>
      <x:c r="F754" s="9" t="str">
        <x:v>ReadySoft (port); Don Bluth / Cinematronics original</x:v>
      </x:c>
      <x:c r="G754" s="9" t="str">
        <x:v>ReadySoft</x:v>
      </x:c>
      <x:c r="H754" s="9" t="n">
        <x:v>1994</x:v>
      </x:c>
      <x:c r="I754" s="9" t="str">
        <x:v>Yes</x:v>
      </x:c>
      <x:c r="J754" s="9" t="str">
        <x:v>No</x:v>
      </x:c>
      <x:c r="K754" s="9" t="str">
        <x:v>No</x:v>
      </x:c>
      <x:c r="L754" s="9" t="str">
        <x:v>No</x:v>
      </x:c>
      <x:c r="M754" s="9" t="str">
        <x:v>QTE laserdisc action</x:v>
      </x:c>
      <x:c r="N754" s="9" t="str">
        <x:v>Animated</x:v>
      </x:c>
      <x:c r="O754" s="9" t="n">
        <x:v>10</x:v>
      </x:c>
      <x:c r="P754" s="9" t="str">
        <x:v>Laserdisc port</x:v>
      </x:c>
      <x:c r="Q754" s="9" t="str">
        <x:v>Released</x:v>
      </x:c>
      <x:c r="R754" s="9" t="str">
        <x:v>Arcade laserdisc game (Cinematronics/Don Bluth, 1983)</x:v>
      </x:c>
      <x:c r="S754" s="9" t="str">
        <x:v>Arcade, Sega CD, CD-i, 3DO, Jaguar CD, DOS/Windows, Amiga, DVD, Blu-ray, Wii, DSiWare, iOS, PS3, Switch, Steam</x:v>
      </x:c>
      <x:c r="T754" s="9" t="str">
        <x:v>Don Bluth (director/animator), Dan Molina (Dirk), Vera Lanpher-Pacheco (Daphne)</x:v>
      </x:c>
      <x:c r="U754" s="9" t="n">
        <x:v>1</x:v>
      </x:c>
      <x:c r="V754" s="9" t="str">
        <x:v>Unknown — verify</x:v>
      </x:c>
      <x:c r="W754" s="9" t="str">
        <x:v>None (mouse/keyboard)</x:v>
      </x:c>
      <x:c r="X754" s="9" t="str">
        <x:v>Low–Med</x:v>
      </x:c>
      <x:c r="Y754" s="9" t="str">
        <x:v>Dragon's Lair animation/score matched by Digital Leisure's many re-releases</x:v>
      </x:c>
      <x:c r="Z754" s="9" t="str">
        <x:v>15–30 min</x:v>
      </x:c>
      <x:c r="AA754" s="9" t="str">
        <x:v>Don Bluth's 1983 laserdisc classic finally in near-full-screen colour on a console, if you can tolerate the input lag.</x:v>
      </x:c>
      <x:c r="AB754" s="9" t="str">
        <x:v>None known</x:v>
      </x:c>
      <x:c r="AC754" s="9" t="str">
        <x:v>Small-window to near-full-screen 256-colour animation; Basilisk II must be set to 256 colours or it crashes at start (Macintosh Repository)</x:v>
      </x:c>
      <x:c r="AD754" s="9" t="str">
        <x:v>Hard; memorisation-based with sluggish move windows</x:v>
      </x:c>
      <x:c r="AE754" s="9" t="str">
        <x:v>Linear with random room order; one ending (rescue Daphne)</x:v>
      </x:c>
      <x:c r="AF754" s="9" t="str">
        <x:v>ReadySoft also sold an earlier floppy-disk Mac Dragon's Lair with heavily cut animation; the CD-ROM is the version with the full arcade footage.</x:v>
      </x:c>
      <x:c r="AG754" s="9" t="str">
        <x:v>Earlier floppy version (cut-down); CD-ROM version (verify year); later Digital Leisure PC/Mac hybrid CD-ROM reissues (verify)</x:v>
      </x:c>
      <x:c r="AH754" s="9" t="str">
        <x:v>Yes (Digital Leisure editions on Steam/GOG, Switch etc.; not the Mac disc)</x:v>
      </x:c>
      <x:c r="AI754" s="9" t="str">
        <x:v>Easy</x:v>
      </x:c>
      <x:c r="AJ754" s="9" t="str">
        <x:v>Plays on a 68k/PowerPC Mac with System 7 or in Basilisk II/SheepShaver. Modern Digital Leisure versions are sold on Steam and GOG.</x:v>
      </x:c>
      <x:c r="AK754" s="9" t="str">
        <x:v>Mac CD-ROM release year not confirmed (1994 assumed, verify). Macintosh Repository lists a 68K CD image needing System 7+.</x:v>
      </x:c>
      <x:c r="AL754" s="10"/>
      <x:c r="AM754" s="10"/>
      <x:c r="AN754" s="10"/>
      <x:c r="AO754" s="9"/>
      <x:c r="AP754" s="11" t="str">
        <x:f>HYPERLINK("https://www.pricecharting.com/search-products?q=Dragon%27s+Lair+macintosh&amp;type=prices","PriceCharting")</x:f>
        <x:v>PriceCharting</x:v>
      </x:c>
      <x:c r="AQ754" s="9"/>
      <x:c r="AR754" s="9"/>
      <x:c r="AS754" s="9"/>
      <x:c r="AT754" s="9"/>
      <x:c r="AU754" s="9" t="str">
        <x:v>No market</x:v>
      </x:c>
      <x:c r="AV754" s="9" t="str">
        <x:v>Not listed on PriceCharting, whose Macintosh console has only about 110 items (searched 2026-10-25). The PC version is on Steam ($9.99).</x:v>
      </x:c>
      <x:c r="AW754" s="9"/>
      <x:c r="AX754" s="9"/>
      <x:c r="AY754" s="9"/>
      <x:c r="AZ754" s="9"/>
      <x:c r="BA754" s="11" t="str">
        <x:f>HYPERLINK("https://www.mobygames.com/game/1503/dragons-lair/","MobyGames")</x:f>
        <x:v>MobyGames</x:v>
      </x:c>
      <x:c r="BB754" s="9"/>
      <x:c r="BC754" s="9"/>
      <x:c r="BD754" s="9"/>
      <x:c r="BE754" s="11" t="str">
        <x:f>HYPERLINK("https://en.wikipedia.org/wiki/Dragon%27s_Lair","Wikipedia")</x:f>
        <x:v>Wikipedia</x:v>
      </x:c>
      <x:c r="BF754" s="11" t="str">
        <x:f>HYPERLINK("https://backloggd.com/search/games/Dragon%27s%20Lair/","Backloggd")</x:f>
        <x:v>Backloggd</x:v>
      </x:c>
      <x:c r="BG754" s="9"/>
      <x:c r="BH754" s="9"/>
      <x:c r="BI754" s="12" t="str">
        <x:v>No</x:v>
      </x:c>
      <x:c r="BJ754" s="12" t="str"/>
      <x:c r="BK754" s="12" t="str">
        <x:v>No</x:v>
      </x:c>
      <x:c r="BL754" s="12" t="str"/>
      <x:c r="BM754" s="12" t="str"/>
      <x:c r="BN754" s="12" t="str"/>
      <x:c r="BO754" s="12" t="str"/>
      <x:c r="BP754" s="12" t="str"/>
      <x:c r="BQ754" s="12" t="str"/>
    </x:row>
    <x:row r="755">
      <x:c r="A755" s="9" t="str">
        <x:v>mac-49</x:v>
      </x:c>
      <x:c r="B755" s="9" t="str">
        <x:v>space-ace</x:v>
      </x:c>
      <x:c r="C755" s="9" t="str">
        <x:v>Macintosh</x:v>
      </x:c>
      <x:c r="D755" s="9" t="str">
        <x:v>Space Ace</x:v>
      </x:c>
      <x:c r="E755" s="9" t="str">
        <x:v>Don Bluth's Space Ace</x:v>
      </x:c>
      <x:c r="F755" s="9" t="str">
        <x:v>ReadySoft (port); Don Bluth / Cinematronics original</x:v>
      </x:c>
      <x:c r="G755" s="9" t="str">
        <x:v>ReadySoft</x:v>
      </x:c>
      <x:c r="H755" s="9" t="n">
        <x:v>1994</x:v>
      </x:c>
      <x:c r="I755" s="9" t="str">
        <x:v>Yes</x:v>
      </x:c>
      <x:c r="J755" s="9" t="str">
        <x:v>No</x:v>
      </x:c>
      <x:c r="K755" s="9" t="str">
        <x:v>No</x:v>
      </x:c>
      <x:c r="L755" s="9" t="str">
        <x:v>No</x:v>
      </x:c>
      <x:c r="M755" s="9" t="str">
        <x:v>QTE laserdisc action</x:v>
      </x:c>
      <x:c r="N755" s="9" t="str">
        <x:v>Animated</x:v>
      </x:c>
      <x:c r="O755" s="9" t="n">
        <x:v>10</x:v>
      </x:c>
      <x:c r="P755" s="9" t="str">
        <x:v>Laserdisc port</x:v>
      </x:c>
      <x:c r="Q755" s="9" t="str">
        <x:v>Released</x:v>
      </x:c>
      <x:c r="R755" s="9" t="str">
        <x:v>Arcade laserdisc game (Cinematronics/Don Bluth, 1984)</x:v>
      </x:c>
      <x:c r="S755" s="9" t="str">
        <x:v>Arcade, Amiga, ST, Apple IIGS, DOS, Sega CD, CD-i, 3DO, Jaguar CD, DVD, Blu-ray, Wii, DSiWare, iOS, PS3, Switch, Steam</x:v>
      </x:c>
      <x:c r="T755" s="9" t="str">
        <x:v>Don Bluth (director); voices incl. Michael Rye (narrator)</x:v>
      </x:c>
      <x:c r="U755" s="9" t="n">
        <x:v>1</x:v>
      </x:c>
      <x:c r="V755" s="9" t="str">
        <x:v>Unknown — verify</x:v>
      </x:c>
      <x:c r="W755" s="9" t="str">
        <x:v>None (mouse/keyboard)</x:v>
      </x:c>
      <x:c r="X755" s="9" t="str">
        <x:v>Low–Med</x:v>
      </x:c>
      <x:c r="Y755" s="9" t="str">
        <x:v>Space Ace animation/score matched by Digital Leisure re-releases</x:v>
      </x:c>
      <x:c r="Z755" s="9" t="str">
        <x:v>15–30 min</x:v>
      </x:c>
      <x:c r="AA755" s="9" t="str">
        <x:v>Bluth's second laserdisc epic lets you transform between Ace and Dexter mid-scene, but the 3DO port dropped animation frames and got harder for it.</x:v>
      </x:c>
      <x:c r="AB755" s="9" t="str">
        <x:v>None known</x:v>
      </x:c>
      <x:c r="AC755" s="9" t="str">
        <x:v>CD-ROM version with digitised arcade animation in 256 colours (verify window size/frame rate)</x:v>
      </x:c>
      <x:c r="AD755" s="9" t="str">
        <x:v>Very hard; memorisation with poor input response</x:v>
      </x:c>
      <x:c r="AE755" s="9" t="str">
        <x:v>Branching Ace/Dexter scene choices; one ending (defeat Borf)</x:v>
      </x:c>
      <x:c r="AF755" s="9" t="str">
        <x:v>ReadySoft sold Space Ace on Mac floppies first, plus the floppy-only sequel Space Ace II: Borf's Revenge; the CD-ROM restored the full arcade footage.</x:v>
      </x:c>
      <x:c r="AG755" s="9" t="str">
        <x:v>Floppy version; CD-ROM version; 1998 'Don Bluth's Space Ace' hybrid PC/Macintosh CD-ROM reissue</x:v>
      </x:c>
      <x:c r="AH755" s="9" t="str">
        <x:v>Yes (Digital Leisure editions on Steam/GOG, Switch etc.; not the Mac disc)</x:v>
      </x:c>
      <x:c r="AI755" s="9" t="str">
        <x:v>Easy</x:v>
      </x:c>
      <x:c r="AJ755" s="9" t="str">
        <x:v>Plays on a 68k/PowerPC Mac with System 7 or in Basilisk II/SheepShaver. Modern Digital Leisure versions are sold on Steam and GOG.</x:v>
      </x:c>
      <x:c r="AK755" s="9" t="str">
        <x:v>Mac CD-ROM first-release year not confirmed (1994 assumed, verify). A 1998 hybrid PC+Mac CD-ROM edition exists.</x:v>
      </x:c>
      <x:c r="AL755" s="10"/>
      <x:c r="AM755" s="10"/>
      <x:c r="AN755" s="10"/>
      <x:c r="AO755" s="9"/>
      <x:c r="AP755" s="11" t="str">
        <x:f>HYPERLINK("https://www.pricecharting.com/search-products?q=Space+Ace+macintosh&amp;type=prices","PriceCharting")</x:f>
        <x:v>PriceCharting</x:v>
      </x:c>
      <x:c r="AQ755" s="9"/>
      <x:c r="AR755" s="9"/>
      <x:c r="AS755" s="9"/>
      <x:c r="AT755" s="9"/>
      <x:c r="AU755" s="9" t="str">
        <x:v>No market</x:v>
      </x:c>
      <x:c r="AV755" s="9" t="str">
        <x:v>Not listed on PriceCharting, whose Macintosh console has only about 110 items (searched 2026-10-25). The PC version is on Steam ($9.99).</x:v>
      </x:c>
      <x:c r="AW755" s="9"/>
      <x:c r="AX755" s="9"/>
      <x:c r="AY755" s="9"/>
      <x:c r="AZ755" s="9"/>
      <x:c r="BA755" s="11" t="str">
        <x:f>HYPERLINK("https://www.mobygames.com/game/6009/space-ace/","MobyGames")</x:f>
        <x:v>MobyGames</x:v>
      </x:c>
      <x:c r="BB755" s="9" t="str">
        <x:v>70%</x:v>
      </x:c>
      <x:c r="BC755" s="9" t="str">
        <x:v>average of 1 review on Wikipedia (Allgame)</x:v>
      </x:c>
      <x:c r="BD755" s="9" t="str">
        <x:f>HYPERLINK("https://en.wikipedia.org/wiki/Space_Ace","Source")</x:f>
        <x:v>Source</x:v>
      </x:c>
      <x:c r="BE755" s="11" t="str">
        <x:f>HYPERLINK("https://en.wikipedia.org/wiki/Space_Ace","Wikipedia")</x:f>
        <x:v>Wikipedia</x:v>
      </x:c>
      <x:c r="BF755" s="11" t="str">
        <x:f>HYPERLINK("https://backloggd.com/search/games/Space%20Ace/","Backloggd")</x:f>
        <x:v>Backloggd</x:v>
      </x:c>
      <x:c r="BG755" s="9"/>
      <x:c r="BH755" s="9"/>
      <x:c r="BI755" s="12" t="str">
        <x:v>No</x:v>
      </x:c>
      <x:c r="BJ755" s="12" t="str"/>
      <x:c r="BK755" s="12" t="str">
        <x:v>No</x:v>
      </x:c>
      <x:c r="BL755" s="12" t="str"/>
      <x:c r="BM755" s="12" t="str"/>
      <x:c r="BN755" s="12" t="str"/>
      <x:c r="BO755" s="12" t="str"/>
      <x:c r="BP755" s="12" t="str"/>
      <x:c r="BQ755" s="12" t="str"/>
    </x:row>
    <x:row r="756">
      <x:c r="A756" s="9" t="str">
        <x:v>mac-50</x:v>
      </x:c>
      <x:c r="B756" s="9" t="str">
        <x:v>dragons-lair-ii-time-warp</x:v>
      </x:c>
      <x:c r="C756" s="9" t="str">
        <x:v>Macintosh</x:v>
      </x:c>
      <x:c r="D756" s="9" t="str">
        <x:v>Dragon's Lair II: Time Warp</x:v>
      </x:c>
      <x:c r="E756" s="9" t="str"/>
      <x:c r="F756" s="9" t="str">
        <x:v>ReadySoft (port); Sullivan Bluth / Leland original</x:v>
      </x:c>
      <x:c r="G756" s="9" t="str">
        <x:v>ReadySoft</x:v>
      </x:c>
      <x:c r="H756" s="9" t="n">
        <x:v>1996</x:v>
      </x:c>
      <x:c r="I756" s="9" t="str">
        <x:v>Yes</x:v>
      </x:c>
      <x:c r="J756" s="9" t="str">
        <x:v>No</x:v>
      </x:c>
      <x:c r="K756" s="9" t="str">
        <x:v>No</x:v>
      </x:c>
      <x:c r="L756" s="9" t="str">
        <x:v>No</x:v>
      </x:c>
      <x:c r="M756" s="9" t="str">
        <x:v>Interactive cartoon (QTE)</x:v>
      </x:c>
      <x:c r="N756" s="9" t="str">
        <x:v>Animated</x:v>
      </x:c>
      <x:c r="O756" s="9" t="n">
        <x:v>10</x:v>
      </x:c>
      <x:c r="P756" s="9" t="str">
        <x:v>Laserdisc port</x:v>
      </x:c>
      <x:c r="Q756" s="9" t="str">
        <x:v>Released</x:v>
      </x:c>
      <x:c r="R756" s="9" t="str">
        <x:v>Arcade laserdisc game (Leland/Sullivan Bluth, 1991)</x:v>
      </x:c>
      <x:c r="S756" s="9" t="str">
        <x:v>Arcade, Amiga, ST, DOS, CD-i, DVD, Blu-ray, DSiWare, iOS, Wii, PS3, Switch, Steam</x:v>
      </x:c>
      <x:c r="T756" s="9" t="str">
        <x:v>Don Bluth (director); Dan Molina (Dirk), Vera Lanpher-Pacheco (Daphne) — verify</x:v>
      </x:c>
      <x:c r="U756" s="9" t="n">
        <x:v>1</x:v>
      </x:c>
      <x:c r="V756" s="9" t="str">
        <x:v>Unknown — verify</x:v>
      </x:c>
      <x:c r="W756" s="9" t="str">
        <x:v>None (mouse/keyboard)</x:v>
      </x:c>
      <x:c r="X756" s="9" t="str">
        <x:v>Low–Med</x:v>
      </x:c>
      <x:c r="Y756" s="9" t="str">
        <x:v>Bluth animation; uses classical music themes; matched by Digital Leisure re-releases</x:v>
      </x:c>
      <x:c r="Z756" s="9" t="str">
        <x:v>20–40 min</x:v>
      </x:c>
      <x:c r="AA756" s="9" t="str">
        <x:v>The only 1990s console release of Dirk's time-travelling sequel: Saturn, 3DO and Jaguar CD ports were announced, only CD-i shipped.</x:v>
      </x:c>
      <x:c r="AB756" s="9" t="str">
        <x:v>None known</x:v>
      </x:c>
      <x:c r="AC756" s="9" t="str">
        <x:v>Digitised arcade animation (verify window size/frame rate)</x:v>
      </x:c>
      <x:c r="AD756" s="9" t="str">
        <x:v>Very hard; tight timing and long sequences</x:v>
      </x:c>
      <x:c r="AE756" s="9" t="str">
        <x:v>Linear sequence of time-warp worlds; one ending (rescue Daphne from Mordroc)</x:v>
      </x:c>
      <x:c r="AF756" s="9" t="str">
        <x:v>Wikipedia dates the Mac release to November 15, 1996 from a ReadySoft press release, years after the 1990 floppy versions on Amiga, ST and DOS.</x:v>
      </x:c>
      <x:c r="AG756" s="9" t="str">
        <x:v>Macintosh Repository lists a 68K ReadySoft build for System 6 (verify whether floppy or CD-ROM)</x:v>
      </x:c>
      <x:c r="AH756" s="9" t="str">
        <x:v>Yes (Digital Leisure editions on Steam/GOG, Switch etc.; not the Mac disc)</x:v>
      </x:c>
      <x:c r="AI756" s="9" t="str">
        <x:v>Easy</x:v>
      </x:c>
      <x:c r="AJ756" s="9" t="str">
        <x:v>Plays on a 68k/PowerPC Mac with System 7 or in Basilisk II/SheepShaver. Modern Digital Leisure versions are on Steam and in the Dragon's Lair Trilogy.</x:v>
      </x:c>
      <x:c r="AK756" s="9" t="str">
        <x:v>Media of the Mac release (CD-ROM vs floppy) not confirmed; verify before buying.</x:v>
      </x:c>
      <x:c r="AL756" s="10"/>
      <x:c r="AM756" s="10"/>
      <x:c r="AN756" s="10"/>
      <x:c r="AO756" s="9"/>
      <x:c r="AP756" s="11" t="str">
        <x:f>HYPERLINK("https://www.pricecharting.com/search-products?q=Dragon%27s+Lair+II%3A+Time+Warp+macintosh&amp;type=prices","PriceCharting")</x:f>
        <x:v>PriceCharting</x:v>
      </x:c>
      <x:c r="AQ756" s="9"/>
      <x:c r="AR756" s="9"/>
      <x:c r="AS756" s="9"/>
      <x:c r="AT756" s="9"/>
      <x:c r="AU756" s="9" t="str">
        <x:v>No market</x:v>
      </x:c>
      <x:c r="AV756" s="9" t="str">
        <x:v>Not listed on PriceCharting, whose Macintosh console has only about 110 items (searched 2026-10-25). The PC version is on Steam ($9.99).</x:v>
      </x:c>
      <x:c r="AW756" s="9"/>
      <x:c r="AX756" s="9"/>
      <x:c r="AY756" s="9"/>
      <x:c r="AZ756" s="9"/>
      <x:c r="BA756" s="11" t="str">
        <x:f>HYPERLINK("https://www.mobygames.com/game/10396/dragons-lair-ii-time-warp/","MobyGames")</x:f>
        <x:v>MobyGames</x:v>
      </x:c>
      <x:c r="BB756" s="9"/>
      <x:c r="BC756" s="9"/>
      <x:c r="BD756" s="9"/>
      <x:c r="BE756" s="11" t="str">
        <x:f>HYPERLINK("https://en.wikipedia.org/wiki/Dragon%27s_Lair_II:_Time_Warp","Wikipedia")</x:f>
        <x:v>Wikipedia</x:v>
      </x:c>
      <x:c r="BF756" s="11" t="str">
        <x:f>HYPERLINK("https://backloggd.com/search/games/Dragon%27s%20Lair%20II%3A%20Time%20Warp/","Backloggd")</x:f>
        <x:v>Backloggd</x:v>
      </x:c>
      <x:c r="BG756" s="9"/>
      <x:c r="BH756" s="9"/>
      <x:c r="BI756" s="12" t="str">
        <x:v>No</x:v>
      </x:c>
      <x:c r="BJ756" s="12" t="str"/>
      <x:c r="BK756" s="12" t="str">
        <x:v>No</x:v>
      </x:c>
      <x:c r="BL756" s="12" t="str"/>
      <x:c r="BM756" s="12" t="str"/>
      <x:c r="BN756" s="12" t="str"/>
      <x:c r="BO756" s="12" t="str"/>
      <x:c r="BP756" s="12" t="str"/>
      <x:c r="BQ756" s="12" t="str"/>
    </x:row>
    <x:row r="757">
      <x:c r="A757" s="9" t="str">
        <x:v>mac-51</x:v>
      </x:c>
      <x:c r="B757" s="9" t="str">
        <x:v>mad-dog-mccree</x:v>
      </x:c>
      <x:c r="C757" s="9" t="str">
        <x:v>Macintosh</x:v>
      </x:c>
      <x:c r="D757" s="9" t="str">
        <x:v>Mad Dog McCree</x:v>
      </x:c>
      <x:c r="E757" s="9" t="str"/>
      <x:c r="F757" s="9" t="str">
        <x:v>American Laser Games</x:v>
      </x:c>
      <x:c r="G757" s="9" t="str">
        <x:v>American Laser Games</x:v>
      </x:c>
      <x:c r="H757" s="9" t="n">
        <x:v>1994</x:v>
      </x:c>
      <x:c r="I757" s="9" t="str">
        <x:v>Yes</x:v>
      </x:c>
      <x:c r="J757" s="9" t="str">
        <x:v>No</x:v>
      </x:c>
      <x:c r="K757" s="9" t="str">
        <x:v>No</x:v>
      </x:c>
      <x:c r="L757" s="9" t="str">
        <x:v>No</x:v>
      </x:c>
      <x:c r="M757" s="9" t="str">
        <x:v>Light-gun rail shooter</x:v>
      </x:c>
      <x:c r="N757" s="9" t="str">
        <x:v>Live-action</x:v>
      </x:c>
      <x:c r="O757" s="9" t="n">
        <x:v>10</x:v>
      </x:c>
      <x:c r="P757" s="9" t="str">
        <x:v>American Laser Games</x:v>
      </x:c>
      <x:c r="Q757" s="9" t="str">
        <x:v>Released</x:v>
      </x:c>
      <x:c r="R757" s="9" t="str">
        <x:v>Arcade laserdisc game (American Laser Games, 1990)</x:v>
      </x:c>
      <x:c r="S757" s="9" t="str">
        <x:v>Arcade, DOS/Windows, Sega CD, CD-i, 3DO, DVD, Wii, iOS, 3DS, PS3</x:v>
      </x:c>
      <x:c r="T757" s="9" t="str">
        <x:v>Ben Zeller (Prospector), Russ/Rusty Dillen (Mad Dog), Lori Dillen (barfly), Carol Eason (undertaker)</x:v>
      </x:c>
      <x:c r="U757" s="9" t="n">
        <x:v>1</x:v>
      </x:c>
      <x:c r="V757" s="9" t="str">
        <x:v>Unknown — verify</x:v>
      </x:c>
      <x:c r="W757" s="9" t="str">
        <x:v>Mouse (ALG PC GameGun not Mac-compatible — verify)</x:v>
      </x:c>
      <x:c r="X757" s="9" t="str">
        <x:v>Low</x:v>
      </x:c>
      <x:c r="Y757" s="9" t="str"/>
      <x:c r="Z757" s="9" t="str">
        <x:v>20–40 min</x:v>
      </x:c>
      <x:c r="AA757" s="9" t="str">
        <x:v>The game that started the live-action light-gun craze, shot in New Mexico for $125k with local actors and a stunt-caliber spittoon count.</x:v>
      </x:c>
      <x:c r="AB757" s="9" t="str">
        <x:v>None known</x:v>
      </x:c>
      <x:c r="AC757" s="9" t="str">
        <x:v>Windowed digitised video from the laserdisc (verify size/frame rate)</x:v>
      </x:c>
      <x:c r="AD757" s="9" t="str">
        <x:v>Easy once memorized; pad cursor is very slow, nearly requires the Gamegun</x:v>
      </x:c>
      <x:c r="AE757" s="9" t="str">
        <x:v>Linear; one ending (defeat Mad Dog in the final showdown); branching only via mistakes/deaths</x:v>
      </x:c>
      <x:c r="AF757" s="9" t="str">
        <x:v>Budget was about $125,000; Russ Dillen dyed his blonde hair black to play Mad Dog. The 3DO port shipped before the Gamegun, so early buyers had to aim with the control pad.</x:v>
      </x:c>
      <x:c r="AG757" s="9" t="str">
        <x:v>Unknown — verify (possibly hybrid Mac/PC disc)</x:v>
      </x:c>
      <x:c r="AH757" s="9" t="str">
        <x:v>No verified current digital sale; original discs and legacy Digital Leisure editions (platforms vary).</x:v>
      </x:c>
      <x:c r="AI757" s="9" t="str">
        <x:v>Easy</x:v>
      </x:c>
      <x:c r="AJ757" s="9" t="str">
        <x:v>Original Macintosh disc on compatible classic Mac hardware or a compatible emulator. Current official digital sale unverified.</x:v>
      </x:c>
      <x:c r="AK757" s="9" t="str">
        <x:v>Mac release supported by an AllGame 'Mad Dog McCree (Macintosh) Review' cited on Wikipedia (2/5); year and publisher of the Mac disc not confirmed (verify). Web fetch budget ran out before MobyGames could be checked.</x:v>
      </x:c>
      <x:c r="AL757" s="10"/>
      <x:c r="AM757" s="10"/>
      <x:c r="AN757" s="10"/>
      <x:c r="AO757" s="9"/>
      <x:c r="AP757" s="11" t="str">
        <x:f>HYPERLINK("https://www.pricecharting.com/search-products?q=Mad+Dog+McCree+macintosh&amp;type=prices","PriceCharting")</x:f>
        <x:v>PriceCharting</x:v>
      </x:c>
      <x:c r="AQ757" s="9"/>
      <x:c r="AR757" s="9"/>
      <x:c r="AS757" s="9"/>
      <x:c r="AT757" s="9"/>
      <x:c r="AU757" s="9" t="str">
        <x:v>No market</x:v>
      </x:c>
      <x:c r="AV757" s="9" t="str">
        <x:v>Not listed on PriceCharting, whose Macintosh console has only about 110 items (searched 2026-10-25).</x:v>
      </x:c>
      <x:c r="AW757" s="9"/>
      <x:c r="AX757" s="9"/>
      <x:c r="AY757" s="9"/>
      <x:c r="AZ757" s="9" t="str">
        <x:v>4.6</x:v>
      </x:c>
      <x:c r="BA757" s="11" t="str">
        <x:f>HYPERLINK("https://www.mobygames.com/game/457/mad-dog-mccree/","MobyGames")</x:f>
        <x:v>MobyGames</x:v>
      </x:c>
      <x:c r="BB757" s="9"/>
      <x:c r="BC757" s="9"/>
      <x:c r="BD757" s="9"/>
      <x:c r="BE757" s="11" t="str">
        <x:f>HYPERLINK("https://en.wikipedia.org/wiki/Mad_Dog_McCree","Wikipedia")</x:f>
        <x:v>Wikipedia</x:v>
      </x:c>
      <x:c r="BF757" s="11" t="str">
        <x:f>HYPERLINK("https://backloggd.com/search/games/Mad%20Dog%20McCree/","Backloggd")</x:f>
        <x:v>Backloggd</x:v>
      </x:c>
      <x:c r="BG757" s="9"/>
      <x:c r="BH757" s="9"/>
      <x:c r="BI757" s="12" t="str">
        <x:v>No</x:v>
      </x:c>
      <x:c r="BJ757" s="12" t="str"/>
      <x:c r="BK757" s="12" t="str">
        <x:v>No</x:v>
      </x:c>
      <x:c r="BL757" s="12" t="str"/>
      <x:c r="BM757" s="12" t="str"/>
      <x:c r="BN757" s="12" t="str"/>
      <x:c r="BO757" s="12" t="str"/>
      <x:c r="BP757" s="12" t="str"/>
      <x:c r="BQ757" s="12" t="str"/>
    </x:row>
    <x:row r="758">
      <x:c r="A758" s="9" t="str">
        <x:v>mac-52</x:v>
      </x:c>
      <x:c r="B758" s="9" t="str">
        <x:v>night-trap</x:v>
      </x:c>
      <x:c r="C758" s="9" t="str">
        <x:v>Macintosh</x:v>
      </x:c>
      <x:c r="D758" s="9" t="str">
        <x:v>Night Trap</x:v>
      </x:c>
      <x:c r="E758" s="9" t="str"/>
      <x:c r="F758" s="9" t="str">
        <x:v>Digital Pictures</x:v>
      </x:c>
      <x:c r="G758" s="9" t="str">
        <x:v>Digital Pictures</x:v>
      </x:c>
      <x:c r="H758" s="9" t="n">
        <x:v>1994</x:v>
      </x:c>
      <x:c r="I758" s="9" t="str">
        <x:v>Yes</x:v>
      </x:c>
      <x:c r="J758" s="9" t="str">
        <x:v>No</x:v>
      </x:c>
      <x:c r="K758" s="9" t="str">
        <x:v>No</x:v>
      </x:c>
      <x:c r="L758" s="9" t="str">
        <x:v>No</x:v>
      </x:c>
      <x:c r="M758" s="9" t="str">
        <x:v>Interactive movie / trap-surveillance</x:v>
      </x:c>
      <x:c r="N758" s="9" t="str">
        <x:v>Live-action</x:v>
      </x:c>
      <x:c r="O758" s="9" t="n">
        <x:v>10</x:v>
      </x:c>
      <x:c r="P758" s="9" t="str">
        <x:v>Digital Pictures</x:v>
      </x:c>
      <x:c r="Q758" s="9" t="str">
        <x:v>Released</x:v>
      </x:c>
      <x:c r="R758" s="9" t="str">
        <x:v>Original production (footage shot 1987 for Hasbro's unreleased NEMO/Control-Vision VHS console)</x:v>
      </x:c>
      <x:c r="S758" s="9" t="str">
        <x:v>Sega CD, 3DO, 32X, DOS; 25th Anniversary Edition on PS4, Xbox One, Switch, Windows, Vita</x:v>
      </x:c>
      <x:c r="T758" s="9" t="str">
        <x:v>Dana Plato (Kelli), Andras Jones (Jeff), Christy Ford, Debra Parks; directed by James Riley</x:v>
      </x:c>
      <x:c r="U758" s="9" t="n">
        <x:v>2</x:v>
      </x:c>
      <x:c r="V758" s="9" t="str">
        <x:v>Unknown — verify</x:v>
      </x:c>
      <x:c r="W758" s="9" t="str">
        <x:v>Mouse</x:v>
      </x:c>
      <x:c r="X758" s="9" t="str">
        <x:v>Low–Med</x:v>
      </x:c>
      <x:c r="Y758" s="9" t="str">
        <x:v>Theme song 'Night Trap' (Sunny Blue) may match later re-releases' audio</x:v>
      </x:c>
      <x:c r="Z758" s="9" t="str">
        <x:v>25–30 min (real-time)</x:v>
      </x:c>
      <x:c r="AA758" s="9" t="str">
        <x:v>The game that sparked the 1993 US Senate hearings and the ESRB, in its best-looking 1990s version with Dana Plato on a 3DO.</x:v>
      </x:c>
      <x:c r="AB758" s="9" t="str">
        <x:v>None known</x:v>
      </x:c>
      <x:c r="AC758" s="9" t="str">
        <x:v>Small QuickTime-style window, low frame rate, similar to the PC version (verify)</x:v>
      </x:c>
      <x:c r="AD758" s="9" t="str">
        <x:v>Hard without a walkthrough; strict trap timing and colour-code changes</x:v>
      </x:c>
      <x:c r="AE758" s="9" t="str">
        <x:v>Multiple failure endings (missed Augers, missed code change, trapping a friend); one true ending</x:v>
      </x:c>
      <x:c r="AF758" s="9" t="str">
        <x:v>The October 1994 PC/Mac release added the short documentary Dangerous Games, in which the producers explain what they meant the game to be.</x:v>
      </x:c>
      <x:c r="AG758" s="9" t="str">
        <x:v>Includes the Dangerous Games documentary (per Wikipedia, for the PC versions); disc count verify</x:v>
      </x:c>
      <x:c r="AH758" s="9" t="str">
        <x:v>Yes (Night Trap 25th Anniversary Edition on Steam/PS4/Switch/Xbox; Windows only on PC)</x:v>
      </x:c>
      <x:c r="AI758" s="9" t="str">
        <x:v>Easy</x:v>
      </x:c>
      <x:c r="AJ758" s="9" t="str">
        <x:v>Plays on a 68k/PowerPC Mac with System 7 or in Basilisk II/SheepShaver. The 25th Anniversary Edition (Steam, consoles) has much better uncompressed video.</x:v>
      </x:c>
      <x:c r="AK758" s="9" t="str">
        <x:v>Mac version released October 1994 in North America (Wikipedia). Disc count (2 assumed, matching Sega CD) verify.</x:v>
      </x:c>
      <x:c r="AL758" s="10"/>
      <x:c r="AM758" s="10"/>
      <x:c r="AN758" s="10"/>
      <x:c r="AO758" s="9"/>
      <x:c r="AP758" s="11" t="str">
        <x:f>HYPERLINK("https://www.pricecharting.com/game/macintosh/night-trap-director%27s-cut","PriceCharting")</x:f>
        <x:v>PriceCharting</x:v>
      </x:c>
      <x:c r="AQ758" s="9"/>
      <x:c r="AR758" s="9"/>
      <x:c r="AS758" s="9"/>
      <x:c r="AT758" s="9"/>
      <x:c r="AU758" s="9" t="str">
        <x:v>No market</x:v>
      </x:c>
      <x:c r="AV758" s="9" t="str">
        <x:v>Not listed on PriceCharting, whose Macintosh console has only about 110 items (searched 2026-10-25). The PC version is on Steam ($14.99).</x:v>
      </x:c>
      <x:c r="AW758" s="9"/>
      <x:c r="AX758" s="9"/>
      <x:c r="AY758" s="9"/>
      <x:c r="AZ758" s="9" t="str">
        <x:v>4.0</x:v>
      </x:c>
      <x:c r="BA758" s="11" t="str">
        <x:f>HYPERLINK("https://www.mobygames.com/game/7276/night-trap/","MobyGames")</x:f>
        <x:v>MobyGames</x:v>
      </x:c>
      <x:c r="BB758" s="9"/>
      <x:c r="BC758" s="9"/>
      <x:c r="BD758" s="9"/>
      <x:c r="BE758" s="11" t="str">
        <x:f>HYPERLINK("https://en.wikipedia.org/wiki/Night_Trap","Wikipedia")</x:f>
        <x:v>Wikipedia</x:v>
      </x:c>
      <x:c r="BF758" s="11" t="str">
        <x:f>HYPERLINK("https://backloggd.com/search/games/Night%20Trap/","Backloggd")</x:f>
        <x:v>Backloggd</x:v>
      </x:c>
      <x:c r="BG758" s="9"/>
      <x:c r="BH758" s="9"/>
      <x:c r="BI758" s="12" t="str">
        <x:v>No</x:v>
      </x:c>
      <x:c r="BJ758" s="12" t="str"/>
      <x:c r="BK758" s="12" t="str">
        <x:v>No</x:v>
      </x:c>
      <x:c r="BL758" s="12" t="str"/>
      <x:c r="BM758" s="12" t="str"/>
      <x:c r="BN758" s="12" t="str"/>
      <x:c r="BO758" s="12" t="str"/>
      <x:c r="BP758" s="12" t="str"/>
      <x:c r="BQ758" s="12" t="str"/>
    </x:row>
    <x:row r="759">
      <x:c r="A759" s="9" t="str">
        <x:v>mac-53</x:v>
      </x:c>
      <x:c r="B759" s="9" t="str">
        <x:v>double-switch</x:v>
      </x:c>
      <x:c r="C759" s="9" t="str">
        <x:v>Macintosh</x:v>
      </x:c>
      <x:c r="D759" s="9" t="str">
        <x:v>Double Switch</x:v>
      </x:c>
      <x:c r="E759" s="9" t="str"/>
      <x:c r="F759" s="9" t="str">
        <x:v>Digital Pictures</x:v>
      </x:c>
      <x:c r="G759" s="9" t="str">
        <x:v>Digital Pictures</x:v>
      </x:c>
      <x:c r="H759" s="9" t="n">
        <x:v>1995</x:v>
      </x:c>
      <x:c r="I759" s="9" t="str">
        <x:v>Yes</x:v>
      </x:c>
      <x:c r="J759" s="9" t="str">
        <x:v>No</x:v>
      </x:c>
      <x:c r="K759" s="9" t="str">
        <x:v>No</x:v>
      </x:c>
      <x:c r="L759" s="9" t="str">
        <x:v>No</x:v>
      </x:c>
      <x:c r="M759" s="9" t="str">
        <x:v>Trap-setting interactive movie</x:v>
      </x:c>
      <x:c r="N759" s="9" t="str">
        <x:v>Live-action</x:v>
      </x:c>
      <x:c r="O759" s="9" t="n">
        <x:v>10</x:v>
      </x:c>
      <x:c r="P759" s="9" t="str">
        <x:v>Digital Pictures</x:v>
      </x:c>
      <x:c r="Q759" s="9" t="str">
        <x:v>Released</x:v>
      </x:c>
      <x:c r="R759" s="9" t="str">
        <x:v>Original production (Digital Pictures, 1993 Sega CD)</x:v>
      </x:c>
      <x:c r="S759" s="9" t="str">
        <x:v>Sega CD, Saturn (JP), Windows; 2016 mobile remaster; 25th Anniversary Edition on Steam, PS4, Switch</x:v>
      </x:c>
      <x:c r="T759" s="9" t="str">
        <x:v>Corey Haim (Eddie), Deborah Harry (Elizabeth), R. Lee Ermey (Lyle), Camille Cooper (Alex), Irwin Keyes (Brutus), David Packer (Jeff), Wendy Gazelle (Phoebe), Kimberly Oja (Laura), Taylor Negron (Slick Sammy)</x:v>
      </x:c>
      <x:c r="U759" s="9" t="n">
        <x:v>2</x:v>
      </x:c>
      <x:c r="V759" s="9" t="str">
        <x:v>Unknown — verify</x:v>
      </x:c>
      <x:c r="W759" s="9" t="str">
        <x:v>Mouse</x:v>
      </x:c>
      <x:c r="X759" s="9" t="str">
        <x:v>Low–Med</x:v>
      </x:c>
      <x:c r="Y759" s="9" t="str">
        <x:v>Celebrity cast footage is original; low music risk</x:v>
      </x:c>
      <x:c r="Z759" s="9" t="str">
        <x:v>1–2 hr</x:v>
      </x:c>
      <x:c r="AA759" s="9" t="str">
        <x:v>Corey Haim directing traps from a basement security console, Night Trap's spiritual sequel, on a 1995 Mac.</x:v>
      </x:c>
      <x:c r="AB759" s="9" t="str">
        <x:v>None known</x:v>
      </x:c>
      <x:c r="AC759" s="9" t="str">
        <x:v>Windowed video, upgrade over the Sega CD's dithered palette (verify)</x:v>
      </x:c>
      <x:c r="AD759" s="9" t="str">
        <x:v>Hard first time; trial-and-error timing like Night Trap</x:v>
      </x:c>
      <x:c r="AE759" s="9" t="str">
        <x:v>Linear with failure states; one good ending</x:v>
      </x:c>
      <x:c r="AF759" s="9" t="str">
        <x:v>Digital Pictures' follow-up to Night Trap, built around the same trap-the-intruders format.</x:v>
      </x:c>
      <x:c r="AG759" s="9" t="str">
        <x:v>Unknown — verify (PC and Mac sold as separate SKUs or hybrid?)</x:v>
      </x:c>
      <x:c r="AH759" s="9" t="str">
        <x:v>Yes (Double Switch 25th Anniversary Edition on Steam/PS4/Switch)</x:v>
      </x:c>
      <x:c r="AI759" s="9" t="str">
        <x:v>Easy</x:v>
      </x:c>
      <x:c r="AJ759" s="9" t="str">
        <x:v>Plays on a 68k/PowerPC Mac with System 7 or in Basilisk II/SheepShaver. The 25th Anniversary Edition on Steam and consoles is the easy modern route.</x:v>
      </x:c>
      <x:c r="AK759" s="9" t="str">
        <x:v>Wikipedia lists a 1995 North American Mac OS release published by Digital Pictures. Disc count verify.</x:v>
      </x:c>
      <x:c r="AL759" s="10"/>
      <x:c r="AM759" s="10"/>
      <x:c r="AN759" s="10"/>
      <x:c r="AO759" s="9"/>
      <x:c r="AP759" s="11" t="str">
        <x:f>HYPERLINK("https://www.pricecharting.com/search-products?q=Double+Switch+macintosh&amp;type=prices","PriceCharting")</x:f>
        <x:v>PriceCharting</x:v>
      </x:c>
      <x:c r="AQ759" s="9"/>
      <x:c r="AR759" s="9"/>
      <x:c r="AS759" s="9"/>
      <x:c r="AT759" s="9"/>
      <x:c r="AU759" s="9" t="str">
        <x:v>No market</x:v>
      </x:c>
      <x:c r="AV759" s="9" t="str">
        <x:v>Not listed on PriceCharting, whose Macintosh console has only about 110 items (searched 2026-10-25). The PC version is on Steam ($14.99).</x:v>
      </x:c>
      <x:c r="AW759" s="9"/>
      <x:c r="AX759" s="9"/>
      <x:c r="AY759" s="9"/>
      <x:c r="AZ759" s="9"/>
      <x:c r="BA759" s="11" t="str">
        <x:f>HYPERLINK("https://www.mobygames.com/game/9315/double-switch/","MobyGames")</x:f>
        <x:v>MobyGames</x:v>
      </x:c>
      <x:c r="BB759" s="9"/>
      <x:c r="BC759" s="9"/>
      <x:c r="BD759" s="9"/>
      <x:c r="BE759" s="11" t="str">
        <x:f>HYPERLINK("https://en.wikipedia.org/wiki/Double_Switch_(video_game)","Wikipedia")</x:f>
        <x:v>Wikipedia</x:v>
      </x:c>
      <x:c r="BF759" s="11" t="str">
        <x:f>HYPERLINK("https://backloggd.com/search/games/Double%20Switch/","Backloggd")</x:f>
        <x:v>Backloggd</x:v>
      </x:c>
      <x:c r="BG759" s="9"/>
      <x:c r="BH759" s="9"/>
      <x:c r="BI759" s="12" t="str">
        <x:v>No</x:v>
      </x:c>
      <x:c r="BJ759" s="12" t="str"/>
      <x:c r="BK759" s="12" t="str">
        <x:v>No</x:v>
      </x:c>
      <x:c r="BL759" s="12" t="str"/>
      <x:c r="BM759" s="12" t="str"/>
      <x:c r="BN759" s="12" t="str"/>
      <x:c r="BO759" s="12" t="str"/>
      <x:c r="BP759" s="12" t="str"/>
      <x:c r="BQ759" s="12" t="str"/>
    </x:row>
    <x:row r="760">
      <x:c r="A760" s="9" t="str">
        <x:v>mac-54</x:v>
      </x:c>
      <x:c r="B760" s="9" t="str">
        <x:v>corpse-killer</x:v>
      </x:c>
      <x:c r="C760" s="9" t="str">
        <x:v>Macintosh</x:v>
      </x:c>
      <x:c r="D760" s="9" t="str">
        <x:v>Corpse Killer</x:v>
      </x:c>
      <x:c r="E760" s="9" t="str"/>
      <x:c r="F760" s="9" t="str">
        <x:v>Digital Pictures</x:v>
      </x:c>
      <x:c r="G760" s="9" t="str">
        <x:v>Digital Pictures</x:v>
      </x:c>
      <x:c r="H760" s="9" t="n">
        <x:v>1995</x:v>
      </x:c>
      <x:c r="I760" s="9" t="str">
        <x:v>Yes</x:v>
      </x:c>
      <x:c r="J760" s="9" t="str">
        <x:v>No</x:v>
      </x:c>
      <x:c r="K760" s="9" t="str">
        <x:v>No</x:v>
      </x:c>
      <x:c r="L760" s="9" t="str">
        <x:v>No</x:v>
      </x:c>
      <x:c r="M760" s="9" t="str">
        <x:v>Light-gun rail shooter</x:v>
      </x:c>
      <x:c r="N760" s="9" t="str">
        <x:v>Live-action</x:v>
      </x:c>
      <x:c r="O760" s="9" t="n">
        <x:v>9</x:v>
      </x:c>
      <x:c r="P760" s="9" t="str">
        <x:v>Digital Pictures</x:v>
      </x:c>
      <x:c r="Q760" s="9" t="str">
        <x:v>Released</x:v>
      </x:c>
      <x:c r="R760" s="9" t="str">
        <x:v>Original production (shot on location in Jamaica-style tropical island setting)</x:v>
      </x:c>
      <x:c r="S760" s="9" t="str">
        <x:v>Sega CD, 32X CD, 3DO, Saturn (Graveyard Edition), Windows; 25th Anniversary Edition on PS4, Switch, Steam</x:v>
      </x:c>
      <x:c r="T760" s="9" t="str">
        <x:v>Vincent Schiavelli (Dr. Hellman); live-action footage directed by John Lafia (Wikipedia)</x:v>
      </x:c>
      <x:c r="U760" s="9" t="n">
        <x:v>1</x:v>
      </x:c>
      <x:c r="V760" s="9" t="str">
        <x:v>Unknown — verify</x:v>
      </x:c>
      <x:c r="W760" s="9" t="str">
        <x:v>Mouse</x:v>
      </x:c>
      <x:c r="X760" s="9" t="str">
        <x:v>Low</x:v>
      </x:c>
      <x:c r="Y760" s="9" t="str"/>
      <x:c r="Z760" s="9" t="str">
        <x:v>1–1.5 hr</x:v>
      </x:c>
      <x:c r="AA760" s="9" t="str">
        <x:v>Vincent Schiavelli's mad scientist and a Jamaican sidekick named Winston in the most quotable zombie shooter of the FMV era, aimed with a Mac mouse.</x:v>
      </x:c>
      <x:c r="AB760" s="9" t="str">
        <x:v>None known</x:v>
      </x:c>
      <x:c r="AC760" s="9" t="str">
        <x:v>Windowed video (verify size/frame rate)</x:v>
      </x:c>
      <x:c r="AD760" s="9" t="str">
        <x:v>Moderate-hard; swarming zombies drain health fast with a pad</x:v>
      </x:c>
      <x:c r="AE760" s="9" t="str">
        <x:v>One ending; failure sequences</x:v>
      </x:c>
      <x:c r="AF760" s="9" t="str">
        <x:v>The 3DO manual never mentions light-gun support, yet the Gamegun works. Japan got it on August 25, 1995 via Acclaim Japan.</x:v>
      </x:c>
      <x:c r="AG760" s="9" t="str">
        <x:v>68K + PowerPC (FAT) build for System 7 to Mac OS 9 (Macintosh Repository)</x:v>
      </x:c>
      <x:c r="AH760" s="9" t="str">
        <x:v>Yes (Corpse Killer 25th Anniversary Edition on Steam/PS4/Switch)</x:v>
      </x:c>
      <x:c r="AI760" s="9" t="str">
        <x:v>Easy</x:v>
      </x:c>
      <x:c r="AJ760" s="9" t="str">
        <x:v>Plays on a 68k/PowerPC Mac with System 7 or in Basilisk II/SheepShaver. The 25th Anniversary Edition on Steam and consoles is the easy modern route.</x:v>
      </x:c>
      <x:c r="AK760" s="9" t="str">
        <x:v>Mac release confirmed by a Digital Pictures disc image on Macintosh Repository; year 1995 not confirmed (verify).</x:v>
      </x:c>
      <x:c r="AL760" s="10"/>
      <x:c r="AM760" s="10"/>
      <x:c r="AN760" s="10"/>
      <x:c r="AO760" s="9"/>
      <x:c r="AP760" s="11" t="str">
        <x:f>HYPERLINK("https://www.pricecharting.com/search-products?q=Corpse+Killer+macintosh&amp;type=prices","PriceCharting")</x:f>
        <x:v>PriceCharting</x:v>
      </x:c>
      <x:c r="AQ760" s="9"/>
      <x:c r="AR760" s="9"/>
      <x:c r="AS760" s="9"/>
      <x:c r="AT760" s="9"/>
      <x:c r="AU760" s="9" t="str">
        <x:v>No market</x:v>
      </x:c>
      <x:c r="AV760" s="9" t="str">
        <x:v>Not listed on PriceCharting, whose Macintosh console has only about 110 items (searched 2026-10-25). The PC version is on Steam ($14.99).</x:v>
      </x:c>
      <x:c r="AW760" s="9"/>
      <x:c r="AX760" s="9"/>
      <x:c r="AY760" s="9"/>
      <x:c r="AZ760" s="9" t="str">
        <x:v>3.0</x:v>
      </x:c>
      <x:c r="BA760" s="11" t="str">
        <x:f>HYPERLINK("https://www.mobygames.com/game/8180/corpse-killer/","MobyGames")</x:f>
        <x:v>MobyGames</x:v>
      </x:c>
      <x:c r="BB760" s="9"/>
      <x:c r="BC760" s="9"/>
      <x:c r="BD760" s="9"/>
      <x:c r="BE760" s="11" t="str">
        <x:f>HYPERLINK("https://en.wikipedia.org/wiki/Corpse_Killer","Wikipedia")</x:f>
        <x:v>Wikipedia</x:v>
      </x:c>
      <x:c r="BF760" s="11" t="str">
        <x:f>HYPERLINK("https://backloggd.com/search/games/Corpse%20Killer/","Backloggd")</x:f>
        <x:v>Backloggd</x:v>
      </x:c>
      <x:c r="BG760" s="9"/>
      <x:c r="BH760" s="9"/>
      <x:c r="BI760" s="12" t="str">
        <x:v>No</x:v>
      </x:c>
      <x:c r="BJ760" s="12" t="str"/>
      <x:c r="BK760" s="12" t="str">
        <x:v>No</x:v>
      </x:c>
      <x:c r="BL760" s="12" t="str"/>
      <x:c r="BM760" s="12" t="str"/>
      <x:c r="BN760" s="12" t="str"/>
      <x:c r="BO760" s="12" t="str"/>
      <x:c r="BP760" s="12" t="str"/>
      <x:c r="BQ760" s="12" t="str"/>
    </x:row>
    <x:row r="761">
      <x:c r="A761" s="9" t="str">
        <x:v>mac-55</x:v>
      </x:c>
      <x:c r="B761" s="9" t="str">
        <x:v>star-wars-rebel-assault</x:v>
      </x:c>
      <x:c r="C761" s="9" t="str">
        <x:v>Macintosh</x:v>
      </x:c>
      <x:c r="D761" s="9" t="str">
        <x:v>Star Wars: Rebel Assault</x:v>
      </x:c>
      <x:c r="E761" s="9" t="str">
        <x:v>Rebel Assault</x:v>
      </x:c>
      <x:c r="F761" s="9" t="str">
        <x:v>LucasArts</x:v>
      </x:c>
      <x:c r="G761" s="9" t="str">
        <x:v>LucasArts</x:v>
      </x:c>
      <x:c r="H761" s="9" t="n">
        <x:v>1994</x:v>
      </x:c>
      <x:c r="I761" s="9" t="str">
        <x:v>Yes</x:v>
      </x:c>
      <x:c r="J761" s="9" t="str">
        <x:v>No</x:v>
      </x:c>
      <x:c r="K761" s="9" t="str">
        <x:v>Yes</x:v>
      </x:c>
      <x:c r="L761" s="9" t="str">
        <x:v>No</x:v>
      </x:c>
      <x:c r="M761" s="9" t="str">
        <x:v>Rail shooter / interactive movie</x:v>
      </x:c>
      <x:c r="N761" s="9" t="str">
        <x:v>Live-action + pre-rendered CG</x:v>
      </x:c>
      <x:c r="O761" s="9" t="n">
        <x:v>9</x:v>
      </x:c>
      <x:c r="P761" s="9" t="str">
        <x:v>Pre-rendered CG</x:v>
      </x:c>
      <x:c r="Q761" s="9" t="str">
        <x:v>Released</x:v>
      </x:c>
      <x:c r="R761" s="9" t="str">
        <x:v>PC original (MS-DOS, Nov 1993); Star Wars film license</x:v>
      </x:c>
      <x:c r="S761" s="9" t="str">
        <x:v>MS-DOS, Sega CD, 3DO</x:v>
      </x:c>
      <x:c r="T761" s="9" t="str">
        <x:v>No film cast; new actors as Rookie One and Rebel pilots; digitized film footage and John Williams score</x:v>
      </x:c>
      <x:c r="U761" s="9" t="n">
        <x:v>1</x:v>
      </x:c>
      <x:c r="V761" s="9" t="str">
        <x:v>Yes</x:v>
      </x:c>
      <x:c r="W761" s="9" t="str">
        <x:v>Mouse, keyboard or joystick</x:v>
      </x:c>
      <x:c r="X761" s="9" t="str">
        <x:v>Med–High</x:v>
      </x:c>
      <x:c r="Y761" s="9" t="str">
        <x:v>John Williams Star Wars score and digitized clips from the original trilogy throughout</x:v>
      </x:c>
      <x:c r="Z761" s="9" t="str">
        <x:v>1–2 hr</x:v>
      </x:c>
      <x:c r="AA761" s="9" t="str">
        <x:v>The CD-ROM-era killer app that put you in a Star Wars movie, and one of the first reasons to buy a CD-ROM drive for a Mac.</x:v>
      </x:c>
      <x:c r="AB761" s="9" t="str">
        <x:v>None known for Mac (PC cheats exist; Mac inputs unverified)</x:v>
      </x:c>
      <x:c r="AC761" s="9" t="str">
        <x:v>320x200-class video upscaled in a full-screen window, about 15 fps (verify)</x:v>
      </x:c>
      <x:c r="AD761" s="9" t="str">
        <x:v>Moderate; three difficulty settings, controls widely criticised as imprecise</x:v>
      </x:c>
      <x:c r="AE761" s="9" t="str">
        <x:v>Linear 15-chapter story; each chapter has a short 'alternate ending' death clip when lives run out</x:v>
      </x:c>
      <x:c r="AF761" s="9" t="str">
        <x:v>Sold around 1 million copies across platforms and is credited with accelerating CD-ROM adoption. A physical Star Destroyer model was digitised for one mission.</x:v>
      </x:c>
      <x:c r="AG761" s="9" t="str">
        <x:v>Unknown — verify (Mac-only disc vs hybrid)</x:v>
      </x:c>
      <x:c r="AH761" s="9" t="str">
        <x:v>No (not sold on GOG or Steam)</x:v>
      </x:c>
      <x:c r="AI761" s="9" t="str">
        <x:v>Easy</x:v>
      </x:c>
      <x:c r="AJ761" s="9" t="str">
        <x:v>Plays on a 68k/PowerPC Mac with System 7 or in Basilisk II/SheepShaver. There is no official modern re-release.</x:v>
      </x:c>
      <x:c r="AK761" s="9" t="str">
        <x:v>Mac year 1994 assumed (verify); EU release assumed (verify).</x:v>
      </x:c>
      <x:c r="AL761" s="10" t="n">
        <x:v>9.95</x:v>
      </x:c>
      <x:c r="AM761" s="10" t="n">
        <x:v>40.95</x:v>
      </x:c>
      <x:c r="AN761" s="10" t="n">
        <x:v>119.99</x:v>
      </x:c>
      <x:c r="AO761" s="9" t="str">
        <x:v>2026-10-24</x:v>
      </x:c>
      <x:c r="AP761" s="11" t="str">
        <x:f>HYPERLINK("https://www.pricecharting.com/game/macintosh/star-wars-rebel-assault","PriceCharting")</x:f>
        <x:v>PriceCharting</x:v>
      </x:c>
      <x:c r="AQ761" s="9"/>
      <x:c r="AR761" s="9"/>
      <x:c r="AS761" s="9"/>
      <x:c r="AT761" s="9"/>
      <x:c r="AU761" s="9"/>
      <x:c r="AV761" s="9"/>
      <x:c r="AW761" s="9"/>
      <x:c r="AX761" s="9"/>
      <x:c r="AY761" s="9"/>
      <x:c r="AZ761" s="9"/>
      <x:c r="BA761" s="11" t="str">
        <x:f>HYPERLINK("https://www.mobygames.com/game/272/star-wars-rebel-assault/","MobyGames")</x:f>
        <x:v>MobyGames</x:v>
      </x:c>
      <x:c r="BB761" s="9" t="str">
        <x:v>50%</x:v>
      </x:c>
      <x:c r="BC761" s="9" t="str">
        <x:v>average of 2 reviews on Wikipedia (Next Generation, MacUser)</x:v>
      </x:c>
      <x:c r="BD761" s="9" t="str">
        <x:f>HYPERLINK("https://en.wikipedia.org/wiki/Star_Wars%3A_Rebel_Assault","Source")</x:f>
        <x:v>Source</x:v>
      </x:c>
      <x:c r="BE761" s="11" t="str">
        <x:f>HYPERLINK("https://en.wikipedia.org/wiki/Star_Wars:_Rebel_Assault","Wikipedia")</x:f>
        <x:v>Wikipedia</x:v>
      </x:c>
      <x:c r="BF761" s="11" t="str">
        <x:f>HYPERLINK("https://backloggd.com/search/games/Star%20Wars%3A%20Rebel%20Assault/","Backloggd")</x:f>
        <x:v>Backloggd</x:v>
      </x:c>
      <x:c r="BG761" s="9"/>
      <x:c r="BH761" s="9"/>
      <x:c r="BI761" s="12" t="str">
        <x:v>No</x:v>
      </x:c>
      <x:c r="BJ761" s="12" t="str"/>
      <x:c r="BK761" s="12" t="str">
        <x:v>No</x:v>
      </x:c>
      <x:c r="BL761" s="12" t="str"/>
      <x:c r="BM761" s="12" t="str"/>
      <x:c r="BN761" s="12" t="str"/>
      <x:c r="BO761" s="12" t="str"/>
      <x:c r="BP761" s="12" t="str"/>
      <x:c r="BQ761" s="12" t="str"/>
    </x:row>
    <x:row r="762">
      <x:c r="A762" s="9" t="str">
        <x:v>mac-56</x:v>
      </x:c>
      <x:c r="B762" s="9" t="str">
        <x:v>rebel-assault-ii-the-hidden-empire</x:v>
      </x:c>
      <x:c r="C762" s="9" t="str">
        <x:v>Macintosh</x:v>
      </x:c>
      <x:c r="D762" s="9" t="str">
        <x:v>Rebel Assault II: The Hidden Empire</x:v>
      </x:c>
      <x:c r="E762" s="9" t="str">
        <x:v>Star Wars: Rebel Assault II</x:v>
      </x:c>
      <x:c r="F762" s="9" t="str">
        <x:v>LucasArts</x:v>
      </x:c>
      <x:c r="G762" s="9" t="str">
        <x:v>LucasArts</x:v>
      </x:c>
      <x:c r="H762" s="9" t="n">
        <x:v>1996</x:v>
      </x:c>
      <x:c r="I762" s="9" t="str">
        <x:v>Yes</x:v>
      </x:c>
      <x:c r="J762" s="9" t="str">
        <x:v>No</x:v>
      </x:c>
      <x:c r="K762" s="9" t="str">
        <x:v>Yes</x:v>
      </x:c>
      <x:c r="L762" s="9" t="str">
        <x:v>No</x:v>
      </x:c>
      <x:c r="M762" s="9" t="str">
        <x:v>Rail shooter</x:v>
      </x:c>
      <x:c r="N762" s="9" t="str">
        <x:v>Live-action + pre-rendered CG</x:v>
      </x:c>
      <x:c r="O762" s="9" t="n">
        <x:v>9</x:v>
      </x:c>
      <x:c r="P762" s="9" t="str">
        <x:v>Interactive movie</x:v>
      </x:c>
      <x:c r="Q762" s="9" t="str">
        <x:v>Released</x:v>
      </x:c>
      <x:c r="R762" s="9" t="str">
        <x:v>Star Wars license; PC original 1995</x:v>
      </x:c>
      <x:c r="S762" s="9" t="str">
        <x:v>Windows/DOS, PlayStation</x:v>
      </x:c>
      <x:c r="T762" s="9" t="str">
        <x:v>Jamison Jones (Rookie One), Julie Eccles (Ru Murleen), C. Andrew Nelson (Darth Vader; voiced by Scott Lawrence)</x:v>
      </x:c>
      <x:c r="U762" s="9" t="n">
        <x:v>2</x:v>
      </x:c>
      <x:c r="V762" s="9" t="str">
        <x:v>Yes</x:v>
      </x:c>
      <x:c r="W762" s="9" t="str">
        <x:v>Mouse, keyboard or joystick</x:v>
      </x:c>
      <x:c r="X762" s="9" t="str">
        <x:v>Med–High</x:v>
      </x:c>
      <x:c r="Y762" s="9" t="str">
        <x:v>John Williams Star Wars music, Lucasfilm sound effects</x:v>
      </x:c>
      <x:c r="Z762" s="9" t="str">
        <x:v>2–3 hr</x:v>
      </x:c>
      <x:c r="AA762" s="9" t="str">
        <x:v>The first time Lucasfilm shot new live-action Star Wars footage since 1983 — for a rail shooter.</x:v>
      </x:c>
      <x:c r="AB762" s="9" t="str">
        <x:v>None known</x:v>
      </x:c>
      <x:c r="AC762" s="9" t="str">
        <x:v>Full-screen interlaced video, about 15 fps (verify)</x:v>
      </x:c>
      <x:c r="AD762" s="9" t="str">
        <x:v>Medium-hard; several stages unforgiving</x:v>
      </x:c>
      <x:c r="AE762" s="9" t="str">
        <x:v>Linear, one ending</x:v>
      </x:c>
      <x:c r="AF762" s="9" t="str">
        <x:v>The live-action cutscenes were shot on bluescreen with original props and costumes.</x:v>
      </x:c>
      <x:c r="AG762" s="9" t="str">
        <x:v>Unknown — verify (Mac-only disc vs hybrid)</x:v>
      </x:c>
      <x:c r="AH762" s="9" t="str">
        <x:v>No (not sold on GOG or Steam)</x:v>
      </x:c>
      <x:c r="AI762" s="9" t="str">
        <x:v>Easy</x:v>
      </x:c>
      <x:c r="AJ762" s="9" t="str">
        <x:v>Plays on a 68k/PowerPC Mac with System 7 or in Basilisk II/SheepShaver. There is no official modern re-release.</x:v>
      </x:c>
      <x:c r="AK762" s="9" t="str">
        <x:v>Macintosh Repository lists a Mac version; year 1996 per contemporary Mac press (verify). EU release assumed (verify).</x:v>
      </x:c>
      <x:c r="AL762" s="10"/>
      <x:c r="AM762" s="10"/>
      <x:c r="AN762" s="10"/>
      <x:c r="AO762" s="9"/>
      <x:c r="AP762" s="11" t="str">
        <x:f>HYPERLINK("https://www.pricecharting.com/search-products?q=Rebel+Assault+II%3A+The+Hidden+Empire+macintosh&amp;type=prices","PriceCharting")</x:f>
        <x:v>PriceCharting</x:v>
      </x:c>
      <x:c r="AQ762" s="9"/>
      <x:c r="AR762" s="9"/>
      <x:c r="AS762" s="9"/>
      <x:c r="AT762" s="9"/>
      <x:c r="AU762" s="9" t="str">
        <x:v>No market</x:v>
      </x:c>
      <x:c r="AV762" s="9" t="str">
        <x:v>Not listed on PriceCharting, whose Macintosh console has only about 110 items (searched 2026-10-25). The PC version is on Steam ($9.99).</x:v>
      </x:c>
      <x:c r="AW762" s="9"/>
      <x:c r="AX762" s="9"/>
      <x:c r="AY762" s="9"/>
      <x:c r="AZ762" s="9"/>
      <x:c r="BA762" s="11" t="str">
        <x:f>HYPERLINK("https://www.mobygames.com/search/?q=Rebel+Assault+II%3A+The+Hidden+Empire","MobyGames")</x:f>
        <x:v>MobyGames</x:v>
      </x:c>
      <x:c r="BB762" s="9" t="str">
        <x:v>60%</x:v>
      </x:c>
      <x:c r="BC762" s="9" t="str">
        <x:v>MacUser on Wikipedia, 1 review</x:v>
      </x:c>
      <x:c r="BD762" s="9" t="str">
        <x:f>HYPERLINK("https://en.wikipedia.org/wiki/Star_Wars%3A_Rebel_Assault_II%3A_The_Hidden_Empire","Source")</x:f>
        <x:v>Source</x:v>
      </x:c>
      <x:c r="BE762" s="11" t="str">
        <x:f>HYPERLINK("https://en.wikipedia.org/wiki/Star_Wars:_Rebel_Assault_II:_The_Hidden_Empire","Wikipedia")</x:f>
        <x:v>Wikipedia</x:v>
      </x:c>
      <x:c r="BF762" s="11" t="str">
        <x:f>HYPERLINK("https://backloggd.com/search/games/Rebel%20Assault%20II%3A%20The%20Hidden%20Empire/","Backloggd")</x:f>
        <x:v>Backloggd</x:v>
      </x:c>
      <x:c r="BG762" s="9"/>
      <x:c r="BH762" s="9"/>
      <x:c r="BI762" s="12" t="str">
        <x:v>No</x:v>
      </x:c>
      <x:c r="BJ762" s="12" t="str"/>
      <x:c r="BK762" s="12" t="str">
        <x:v>No</x:v>
      </x:c>
      <x:c r="BL762" s="12" t="str"/>
      <x:c r="BM762" s="12" t="str"/>
      <x:c r="BN762" s="12" t="str"/>
      <x:c r="BO762" s="12" t="str"/>
      <x:c r="BP762" s="12" t="str"/>
      <x:c r="BQ762" s="12" t="str"/>
    </x:row>
    <x:row r="763">
      <x:c r="A763" s="9" t="str">
        <x:v>mac-57</x:v>
      </x:c>
      <x:c r="B763" s="9" t="str">
        <x:v>wing-commander-iii-heart-of-the-tiger</x:v>
      </x:c>
      <x:c r="C763" s="9" t="str">
        <x:v>Macintosh</x:v>
      </x:c>
      <x:c r="D763" s="9" t="str">
        <x:v>Wing Commander III: Heart of the Tiger</x:v>
      </x:c>
      <x:c r="E763" s="9" t="str"/>
      <x:c r="F763" s="9" t="str">
        <x:v>Origin Systems</x:v>
      </x:c>
      <x:c r="G763" s="9" t="str">
        <x:v>Origin Systems / Electronic Arts</x:v>
      </x:c>
      <x:c r="H763" s="9" t="n">
        <x:v>1996</x:v>
      </x:c>
      <x:c r="I763" s="9" t="str">
        <x:v>Yes</x:v>
      </x:c>
      <x:c r="J763" s="9" t="str">
        <x:v>No</x:v>
      </x:c>
      <x:c r="K763" s="9" t="str">
        <x:v>Yes</x:v>
      </x:c>
      <x:c r="L763" s="9" t="str">
        <x:v>No</x:v>
      </x:c>
      <x:c r="M763" s="9" t="str">
        <x:v>Space combat sim / interactive movie</x:v>
      </x:c>
      <x:c r="N763" s="9" t="str">
        <x:v>Live-action + CG</x:v>
      </x:c>
      <x:c r="O763" s="9" t="n">
        <x:v>7</x:v>
      </x:c>
      <x:c r="P763" s="9" t="str">
        <x:v>Interactive movie</x:v>
      </x:c>
      <x:c r="Q763" s="9" t="str">
        <x:v>Released</x:v>
      </x:c>
      <x:c r="R763" s="9" t="str">
        <x:v>PC original (Origin, Dec 1994); 3DO conversion with added cutscenes</x:v>
      </x:c>
      <x:c r="S763" s="9" t="str">
        <x:v>DOS, Windows, 3DO, PlayStation</x:v>
      </x:c>
      <x:c r="T763" s="9" t="str">
        <x:v>Mark Hamill, Malcolm McDowell, John Rhys-Davies, Tom Wilson, Jason Bernard, Ginger Lynn Allen, Josh Lucas, Courtney Gains, François Chau, Tim Curry (voice)</x:v>
      </x:c>
      <x:c r="U763" s="9" t="n">
        <x:v>4</x:v>
      </x:c>
      <x:c r="V763" s="9" t="str">
        <x:v>Yes</x:v>
      </x:c>
      <x:c r="W763" s="9" t="str">
        <x:v>Mouse, keyboard or joystick</x:v>
      </x:c>
      <x:c r="X763" s="9" t="str">
        <x:v>Low–Med</x:v>
      </x:c>
      <x:c r="Y763" s="9" t="str">
        <x:v>Original George Oldziey score; EA/Origin footage occasionally matched by automated claims</x:v>
      </x:c>
      <x:c r="Z763" s="9" t="str">
        <x:v>10–15 hr</x:v>
      </x:c>
      <x:c r="AA763" s="9" t="str">
        <x:v>Mark Hamill and Malcolm McDowell star in the $4M green-screen space opera that EGM said had the cleanest FMV on any platform — and the 3DO cut adds scenes the PC never had.</x:v>
      </x:c>
      <x:c r="AB763" s="9" t="str">
        <x:v>None known for Mac (PC '-chicken' launch option does not apply — verify)</x:v>
      </x:c>
      <x:c r="AC763" s="9" t="str">
        <x:v>Full-screen interlaced video like the PC version, about 15 fps (verify)</x:v>
      </x:c>
      <x:c r="AD763" s="9" t="str">
        <x:v>Fixed at roughly PC 'Veteran'; missions faster and more arcade-like than PC</x:v>
      </x:c>
      <x:c r="AE763" s="9" t="str">
        <x:v>Branching romance (Flint/Rachel) and mission-tree outcomes; multiple endings as on PC</x:v>
      </x:c>
      <x:c r="AF763" s="9" t="str">
        <x:v>Planetary surface missions and manual takeoffs were replaced with FMV; new scenes include civilian news segments and a Hobbes hologram. Won 3DO Interactive Movie of the Year 1995.</x:v>
      </x:c>
      <x:c r="AG763" s="9" t="str">
        <x:v>Unknown — verify (Mac-only disc set)</x:v>
      </x:c>
      <x:c r="AH763" s="9" t="str">
        <x:v>Yes (GOG, Windows only; Mac disc not re-released)</x:v>
      </x:c>
      <x:c r="AI763" s="9" t="str">
        <x:v>Easy</x:v>
      </x:c>
      <x:c r="AJ763" s="9" t="str">
        <x:v>Plays on a 68k/PowerPC Mac with System 7 or in Basilisk II/SheepShaver. GOG sells the PC version.</x:v>
      </x:c>
      <x:c r="AK763" s="9" t="str">
        <x:v>Mac port year 1996 (verify). Disc count 4 matches the PC version (verify).</x:v>
      </x:c>
      <x:c r="AL763" s="10"/>
      <x:c r="AM763" s="10"/>
      <x:c r="AN763" s="10"/>
      <x:c r="AO763" s="9"/>
      <x:c r="AP763" s="11" t="str">
        <x:f>HYPERLINK("https://www.pricecharting.com/search-products?q=Wing+Commander+III%3A+Heart+of+the+Tiger+macintosh&amp;type=prices","PriceCharting")</x:f>
        <x:v>PriceCharting</x:v>
      </x:c>
      <x:c r="AQ763" s="9"/>
      <x:c r="AR763" s="9"/>
      <x:c r="AS763" s="9"/>
      <x:c r="AT763" s="9"/>
      <x:c r="AU763" s="9" t="str">
        <x:v>No market</x:v>
      </x:c>
      <x:c r="AV763" s="9" t="str">
        <x:v>Not listed on PriceCharting, whose Macintosh console has only about 110 items (searched 2026-10-25). The PC version is on GOG ($5.99).</x:v>
      </x:c>
      <x:c r="AW763" s="9"/>
      <x:c r="AX763" s="9"/>
      <x:c r="AY763" s="9" t="str">
        <x:v>82%</x:v>
      </x:c>
      <x:c r="AZ763" s="9"/>
      <x:c r="BA763" s="11" t="str">
        <x:f>HYPERLINK("https://www.mobygames.com/game/wing-commander-iii-heart-of-the-tiger","MobyGames")</x:f>
        <x:v>MobyGames</x:v>
      </x:c>
      <x:c r="BB763" s="9"/>
      <x:c r="BC763" s="9"/>
      <x:c r="BD763" s="9"/>
      <x:c r="BE763" s="11" t="str">
        <x:f>HYPERLINK("https://en.wikipedia.org/wiki/Wing_Commander_III:_Heart_of_the_Tiger","Wikipedia")</x:f>
        <x:v>Wikipedia</x:v>
      </x:c>
      <x:c r="BF763" s="11" t="str">
        <x:f>HYPERLINK("https://backloggd.com/search/games/Wing%20Commander%20III%3A%20Heart%20of%20the%20Tiger/","Backloggd")</x:f>
        <x:v>Backloggd</x:v>
      </x:c>
      <x:c r="BG763" s="9"/>
      <x:c r="BH763" s="9"/>
      <x:c r="BI763" s="12" t="str">
        <x:v>No</x:v>
      </x:c>
      <x:c r="BJ763" s="12" t="str"/>
      <x:c r="BK763" s="12" t="str">
        <x:v>No</x:v>
      </x:c>
      <x:c r="BL763" s="12" t="str"/>
      <x:c r="BM763" s="12" t="str"/>
      <x:c r="BN763" s="12" t="str"/>
      <x:c r="BO763" s="12" t="str"/>
      <x:c r="BP763" s="12" t="str"/>
      <x:c r="BQ763" s="12" t="str"/>
    </x:row>
    <x:row r="764">
      <x:c r="A764" s="9" t="str">
        <x:v>mac-58</x:v>
      </x:c>
      <x:c r="B764" s="9" t="str">
        <x:v>wing-commander-iv-the-price-of-freedom</x:v>
      </x:c>
      <x:c r="C764" s="9" t="str">
        <x:v>Macintosh</x:v>
      </x:c>
      <x:c r="D764" s="9" t="str">
        <x:v>Wing Commander IV: The Price of Freedom</x:v>
      </x:c>
      <x:c r="E764" s="9" t="str"/>
      <x:c r="F764" s="9" t="str">
        <x:v>Origin Systems</x:v>
      </x:c>
      <x:c r="G764" s="9" t="str">
        <x:v>Origin Systems / Electronic Arts</x:v>
      </x:c>
      <x:c r="H764" s="9" t="n">
        <x:v>1996</x:v>
      </x:c>
      <x:c r="I764" s="9" t="str">
        <x:v>Yes</x:v>
      </x:c>
      <x:c r="J764" s="9" t="str">
        <x:v>No</x:v>
      </x:c>
      <x:c r="K764" s="9" t="str">
        <x:v>Yes</x:v>
      </x:c>
      <x:c r="L764" s="9" t="str">
        <x:v>No</x:v>
      </x:c>
      <x:c r="M764" s="9" t="str">
        <x:v>Space combat sim / interactive movie</x:v>
      </x:c>
      <x:c r="N764" s="9" t="str">
        <x:v>Live-action</x:v>
      </x:c>
      <x:c r="O764" s="9" t="n">
        <x:v>7</x:v>
      </x:c>
      <x:c r="P764" s="9" t="str">
        <x:v>Interactive movie</x:v>
      </x:c>
      <x:c r="Q764" s="9" t="str">
        <x:v>Released</x:v>
      </x:c>
      <x:c r="R764" s="9" t="str">
        <x:v>PC original (1996)</x:v>
      </x:c>
      <x:c r="S764" s="9" t="str">
        <x:v>DOS, Windows, PlayStation, DVD-ROM</x:v>
      </x:c>
      <x:c r="T764" s="9" t="str">
        <x:v>Mark Hamill, Malcolm McDowell, Tom Wilson, Jason Bernard, Robert Rusler, Elizabeth Barondes, Chris Mulkey</x:v>
      </x:c>
      <x:c r="U764" s="9" t="n">
        <x:v>6</x:v>
      </x:c>
      <x:c r="V764" s="9" t="str">
        <x:v>Yes</x:v>
      </x:c>
      <x:c r="W764" s="9" t="str">
        <x:v>Mouse, keyboard or joystick</x:v>
      </x:c>
      <x:c r="X764" s="9" t="str">
        <x:v>Low–Med</x:v>
      </x:c>
      <x:c r="Y764" s="9" t="str"/>
      <x:c r="Z764" s="9" t="str">
        <x:v>15–20 hr</x:v>
      </x:c>
      <x:c r="AA764" s="9" t="str">
        <x:v>A $12 million space opera shot on real sets with film cameras — the most expensive FMV game ever made.</x:v>
      </x:c>
      <x:c r="AB764" s="9" t="str">
        <x:v>None known</x:v>
      </x:c>
      <x:c r="AC764" s="9" t="str">
        <x:v>Full-screen interlaced video like the PC version (verify)</x:v>
      </x:c>
      <x:c r="AD764" s="9" t="str">
        <x:v>Moderate</x:v>
      </x:c>
      <x:c r="AE764" s="9" t="str">
        <x:v>Branching choices; multiple endings</x:v>
      </x:c>
      <x:c r="AF764" s="9" t="str">
        <x:v>Budget around $12 million, shot on real sets rather than bluescreen unlike WC3.</x:v>
      </x:c>
      <x:c r="AG764" s="9" t="str">
        <x:v>Unknown — verify</x:v>
      </x:c>
      <x:c r="AH764" s="9" t="str">
        <x:v>Yes (GOG, Windows only; Mac disc not re-released)</x:v>
      </x:c>
      <x:c r="AI764" s="9" t="str">
        <x:v>Easy</x:v>
      </x:c>
      <x:c r="AJ764" s="9" t="str">
        <x:v>Plays on a 68k/PowerPC Mac with System 7 or in Basilisk II/SheepShaver. GOG sells the PC version.</x:v>
      </x:c>
      <x:c r="AK764" s="9" t="str">
        <x:v>Mac version listed on Macintosh Repository; release year 1996 not confirmed, may be 1997 (verify). Disc count 6 matches PC (verify).</x:v>
      </x:c>
      <x:c r="AL764" s="10"/>
      <x:c r="AM764" s="10"/>
      <x:c r="AN764" s="10"/>
      <x:c r="AO764" s="9"/>
      <x:c r="AP764" s="11" t="str">
        <x:f>HYPERLINK("https://www.pricecharting.com/search-products?q=Wing+Commander+IV%3A+The+Price+of+Freedom+macintosh&amp;type=prices","PriceCharting")</x:f>
        <x:v>PriceCharting</x:v>
      </x:c>
      <x:c r="AQ764" s="9"/>
      <x:c r="AR764" s="9"/>
      <x:c r="AS764" s="9"/>
      <x:c r="AT764" s="9"/>
      <x:c r="AU764" s="9" t="str">
        <x:v>No market</x:v>
      </x:c>
      <x:c r="AV764" s="9" t="str">
        <x:v>Not listed on PriceCharting, whose Macintosh console has only about 110 items (searched 2026-10-25). The PC version is on GOG ($5.99).</x:v>
      </x:c>
      <x:c r="AW764" s="9"/>
      <x:c r="AX764" s="9"/>
      <x:c r="AY764" s="9"/>
      <x:c r="AZ764" s="9" t="str">
        <x:v>3.1</x:v>
      </x:c>
      <x:c r="BA764" s="11" t="str">
        <x:f>HYPERLINK("https://www.mobygames.com/game/wing-commander-iv-the-price-of-freedom","MobyGames")</x:f>
        <x:v>MobyGames</x:v>
      </x:c>
      <x:c r="BB764" s="9"/>
      <x:c r="BC764" s="9"/>
      <x:c r="BD764" s="9"/>
      <x:c r="BE764" s="11" t="str">
        <x:f>HYPERLINK("https://en.wikipedia.org/wiki/Wing_Commander_IV:_The_Price_of_Freedom","Wikipedia")</x:f>
        <x:v>Wikipedia</x:v>
      </x:c>
      <x:c r="BF764" s="11" t="str">
        <x:f>HYPERLINK("https://backloggd.com/search/games/Wing%20Commander%20IV%3A%20The%20Price%20of%20Freedom/","Backloggd")</x:f>
        <x:v>Backloggd</x:v>
      </x:c>
      <x:c r="BG764" s="9"/>
      <x:c r="BH764" s="9"/>
      <x:c r="BI764" s="12" t="str">
        <x:v>No</x:v>
      </x:c>
      <x:c r="BJ764" s="12" t="str"/>
      <x:c r="BK764" s="12" t="str">
        <x:v>No</x:v>
      </x:c>
      <x:c r="BL764" s="12" t="str"/>
      <x:c r="BM764" s="12" t="str"/>
      <x:c r="BN764" s="12" t="str"/>
      <x:c r="BO764" s="12" t="str"/>
      <x:c r="BP764" s="12" t="str"/>
      <x:c r="BQ764" s="12" t="str"/>
    </x:row>
    <x:row r="765">
      <x:c r="A765" s="9" t="str">
        <x:v>mac-59</x:v>
      </x:c>
      <x:c r="B765" s="9" t="str">
        <x:v>the-daedalus-encounter</x:v>
      </x:c>
      <x:c r="C765" s="9" t="str">
        <x:v>Macintosh</x:v>
      </x:c>
      <x:c r="D765" s="9" t="str">
        <x:v>The Daedalus Encounter</x:v>
      </x:c>
      <x:c r="E765" s="9" t="str"/>
      <x:c r="F765" s="9" t="str">
        <x:v>Mechadeus</x:v>
      </x:c>
      <x:c r="G765" s="9" t="str">
        <x:v>Virgin Interactive Entertainment</x:v>
      </x:c>
      <x:c r="H765" s="9" t="n">
        <x:v>1995</x:v>
      </x:c>
      <x:c r="I765" s="9" t="str">
        <x:v>Yes</x:v>
      </x:c>
      <x:c r="J765" s="9" t="str">
        <x:v>No</x:v>
      </x:c>
      <x:c r="K765" s="9" t="str">
        <x:v>Yes</x:v>
      </x:c>
      <x:c r="L765" s="9" t="str">
        <x:v>No</x:v>
      </x:c>
      <x:c r="M765" s="9" t="str">
        <x:v>Interactive movie / puzzle</x:v>
      </x:c>
      <x:c r="N765" s="9" t="str">
        <x:v>Live-action + pre-rendered CG</x:v>
      </x:c>
      <x:c r="O765" s="9" t="n">
        <x:v>8</x:v>
      </x:c>
      <x:c r="P765" s="9" t="str">
        <x:v>Interactive movie</x:v>
      </x:c>
      <x:c r="Q765" s="9" t="str">
        <x:v>Released</x:v>
      </x:c>
      <x:c r="R765" s="9" t="str">
        <x:v>PC original (Windows/DOS, Apr 1995)</x:v>
      </x:c>
      <x:c r="S765" s="9" t="str">
        <x:v>Windows, DOS, 3DO</x:v>
      </x:c>
      <x:c r="T765" s="9" t="str">
        <x:v>Tia Carrere as Ariel Matheson, Christian Bocher as Zack Smith</x:v>
      </x:c>
      <x:c r="U765" s="9" t="n">
        <x:v>4</x:v>
      </x:c>
      <x:c r="V765" s="9" t="str">
        <x:v>Yes</x:v>
      </x:c>
      <x:c r="W765" s="9" t="str">
        <x:v>Mouse</x:v>
      </x:c>
      <x:c r="X765" s="9" t="str">
        <x:v>Low</x:v>
      </x:c>
      <x:c r="Y765" s="9" t="str"/>
      <x:c r="Z765" s="9" t="str">
        <x:v>3–5 hr</x:v>
      </x:c>
      <x:c r="AA765" s="9" t="str">
        <x:v>You are a brain in a jar and Tia Carrere is your pilot: four discs of sci-fi FMV from a San Francisco studio that started on the Mac.</x:v>
      </x:c>
      <x:c r="AB765" s="9" t="str">
        <x:v>None known</x:v>
      </x:c>
      <x:c r="AC765" s="9" t="str">
        <x:v>Full-screen video, PC-quality QuickTime (verify)</x:v>
      </x:c>
      <x:c r="AD765" s="9" t="str">
        <x:v>Moderate; puzzle-driven with infrequent interaction</x:v>
      </x:c>
      <x:c r="AE765" s="9" t="str">
        <x:v>Three endings: Artemis burns up; Ari kills the alien Queen and escapes; or the alien responds to Casey and repairs the ship</x:v>
      </x:c>
      <x:c r="AF765" s="9" t="str">
        <x:v>Alternate scenes were filmed at Cinerent Stage A in San Francisco so the story shifts with player progress. Maximum called the 3DO FMV 'by far the most superior effort of any format.'</x:v>
      </x:c>
      <x:c r="AG765" s="9" t="str">
        <x:v>Unknown — verify (possibly hybrid Mac/PC disc)</x:v>
      </x:c>
      <x:c r="AH765" s="9" t="str">
        <x:v>No</x:v>
      </x:c>
      <x:c r="AI765" s="9" t="str">
        <x:v>Easy</x:v>
      </x:c>
      <x:c r="AJ765" s="9" t="str">
        <x:v>Plays on a 68k/PowerPC Mac with System 7 or in Basilisk II/SheepShaver. There is no official modern re-release.</x:v>
      </x:c>
      <x:c r="AK765" s="9" t="str">
        <x:v>Mac release 1995 (verify). Mechadeus's earlier game Critical Path was a Mac/PC title.</x:v>
      </x:c>
      <x:c r="AL765" s="10" t="n">
        <x:v>12</x:v>
      </x:c>
      <x:c r="AM765" s="10" t="n">
        <x:v>27.24</x:v>
      </x:c>
      <x:c r="AN765" s="10" t="n">
        <x:v>54</x:v>
      </x:c>
      <x:c r="AO765" s="9" t="str">
        <x:v>2026-10-24</x:v>
      </x:c>
      <x:c r="AP765" s="11" t="str">
        <x:f>HYPERLINK("https://www.pricecharting.com/game/macintosh/daedalus-encounter","PriceCharting")</x:f>
        <x:v>PriceCharting</x:v>
      </x:c>
      <x:c r="AQ765" s="9"/>
      <x:c r="AR765" s="9"/>
      <x:c r="AS765" s="9"/>
      <x:c r="AT765" s="9"/>
      <x:c r="AU765" s="9"/>
      <x:c r="AV765" s="9"/>
      <x:c r="AW765" s="9"/>
      <x:c r="AX765" s="9"/>
      <x:c r="AY765" s="9"/>
      <x:c r="AZ765" s="9" t="str">
        <x:v>3.4</x:v>
      </x:c>
      <x:c r="BA765" s="11" t="str">
        <x:f>HYPERLINK("https://www.mobygames.com/game/3363/the-daedalus-encounter/","MobyGames")</x:f>
        <x:v>MobyGames</x:v>
      </x:c>
      <x:c r="BB765" s="9" t="str">
        <x:v>80%</x:v>
      </x:c>
      <x:c r="BC765" s="9" t="str">
        <x:v>MacUser on Wikipedia, 1 review</x:v>
      </x:c>
      <x:c r="BD765" s="9" t="str">
        <x:f>HYPERLINK("https://en.wikipedia.org/wiki/The_Daedalus_Encounter","Source")</x:f>
        <x:v>Source</x:v>
      </x:c>
      <x:c r="BE765" s="11" t="str">
        <x:f>HYPERLINK("https://en.wikipedia.org/wiki/The_Daedalus_Encounter","Wikipedia")</x:f>
        <x:v>Wikipedia</x:v>
      </x:c>
      <x:c r="BF765" s="11" t="str">
        <x:f>HYPERLINK("https://backloggd.com/search/games/The%20Daedalus%20Encounter/","Backloggd")</x:f>
        <x:v>Backloggd</x:v>
      </x:c>
      <x:c r="BG765" s="9"/>
      <x:c r="BH765" s="9"/>
      <x:c r="BI765" s="12" t="str">
        <x:v>No</x:v>
      </x:c>
      <x:c r="BJ765" s="12" t="str"/>
      <x:c r="BK765" s="12" t="str">
        <x:v>No</x:v>
      </x:c>
      <x:c r="BL765" s="12" t="str"/>
      <x:c r="BM765" s="12" t="str"/>
      <x:c r="BN765" s="12" t="str"/>
      <x:c r="BO765" s="12" t="str"/>
      <x:c r="BP765" s="12" t="str"/>
      <x:c r="BQ765" s="12" t="str"/>
    </x:row>
    <x:row r="766">
      <x:c r="A766" s="9" t="str">
        <x:v>mac-60</x:v>
      </x:c>
      <x:c r="B766" s="9" t="str">
        <x:v>burn-cycle</x:v>
      </x:c>
      <x:c r="C766" s="9" t="str">
        <x:v>Macintosh</x:v>
      </x:c>
      <x:c r="D766" s="9" t="str">
        <x:v>Burn:Cycle</x:v>
      </x:c>
      <x:c r="E766" s="9" t="str">
        <x:v>Burn Cycle</x:v>
      </x:c>
      <x:c r="F766" s="9" t="str">
        <x:v>TripMedia</x:v>
      </x:c>
      <x:c r="G766" s="9" t="str">
        <x:v>Philips Media</x:v>
      </x:c>
      <x:c r="H766" s="9" t="n">
        <x:v>1995</x:v>
      </x:c>
      <x:c r="I766" s="9" t="str">
        <x:v>Yes</x:v>
      </x:c>
      <x:c r="J766" s="9" t="str">
        <x:v>No</x:v>
      </x:c>
      <x:c r="K766" s="9" t="str">
        <x:v>Yes</x:v>
      </x:c>
      <x:c r="L766" s="9" t="str">
        <x:v>No</x:v>
      </x:c>
      <x:c r="M766" s="9" t="str">
        <x:v>Cyberpunk point-and-click adventure</x:v>
      </x:c>
      <x:c r="N766" s="9" t="str">
        <x:v>Live-action + CG</x:v>
      </x:c>
      <x:c r="O766" s="9" t="n">
        <x:v>7</x:v>
      </x:c>
      <x:c r="P766" s="9" t="str">
        <x:v>FMV adventure</x:v>
      </x:c>
      <x:c r="Q766" s="9" t="str">
        <x:v>Released</x:v>
      </x:c>
      <x:c r="R766" s="9" t="str">
        <x:v>Original production for CD-i</x:v>
      </x:c>
      <x:c r="S766" s="9" t="str">
        <x:v>CD-i, Windows</x:v>
      </x:c>
      <x:c r="T766" s="9" t="str">
        <x:v>Aaron Swartz (Sol Cutter), Tanya Pohlkotte (female Cutter), Abigail Canton (Gala), Richard Hanson (Zip) (per MobyGames CD-i credits)</x:v>
      </x:c>
      <x:c r="U766" s="9" t="n">
        <x:v>1</x:v>
      </x:c>
      <x:c r="V766" s="9" t="str">
        <x:v>Yes</x:v>
      </x:c>
      <x:c r="W766" s="9" t="str">
        <x:v>Mouse</x:v>
      </x:c>
      <x:c r="X766" s="9" t="str">
        <x:v>Low–Med</x:v>
      </x:c>
      <x:c r="Y766" s="9" t="str">
        <x:v>Simon Boswell / Chris Whitten score was later commercially released (2017 remaster, 2019 Reworks) and could be fingerprinted</x:v>
      </x:c>
      <x:c r="Z766" s="9" t="str">
        <x:v>2–4 hr</x:v>
      </x:c>
      <x:c r="AA766" s="9" t="str">
        <x:v>Philips' flagship cyberpunk FMV adventure: a two-hour countdown with a virus in your head, and a techno score by Simon Boswell.</x:v>
      </x:c>
      <x:c r="AB766" s="9" t="str">
        <x:v>None known</x:v>
      </x:c>
      <x:c r="AC766" s="9" t="str">
        <x:v>Full-screen video ported from the CD-i MPEG footage (verify)</x:v>
      </x:c>
      <x:c r="AD766" s="9" t="str">
        <x:v>Moderate; real-time two-hour countdown and some awkward action sections</x:v>
      </x:c>
      <x:c r="AE766" s="9" t="str">
        <x:v>Single main ending; failure if the countdown runs out (verify)</x:v>
      </x:c>
      <x:c r="AF766" s="9" t="str">
        <x:v>Boxed with a soundtrack audio CD; Boswell's score is often called one of the first orchestral-leaning game scores, later remastered in 2017.</x:v>
      </x:c>
      <x:c r="AG766" s="9" t="str">
        <x:v>Hybrid Mac/PC disc (verify)</x:v>
      </x:c>
      <x:c r="AH766" s="9" t="str">
        <x:v>No</x:v>
      </x:c>
      <x:c r="AI766" s="9" t="str">
        <x:v>Easy</x:v>
      </x:c>
      <x:c r="AJ766" s="9" t="str">
        <x:v>Plays on a 68k/PowerPC Mac with System 7 or in Basilisk II/SheepShaver. There is no official modern re-release.</x:v>
      </x:c>
      <x:c r="AK766" s="9" t="str">
        <x:v>Mac and Windows versions released 1995 by Philips Media; hybrid disc not confirmed (verify).</x:v>
      </x:c>
      <x:c r="AL766" s="10"/>
      <x:c r="AM766" s="10"/>
      <x:c r="AN766" s="10"/>
      <x:c r="AO766" s="9"/>
      <x:c r="AP766" s="11" t="str">
        <x:f>HYPERLINK("https://www.pricecharting.com/search-products?q=Burn%3ACycle+macintosh&amp;type=prices","PriceCharting")</x:f>
        <x:v>PriceCharting</x:v>
      </x:c>
      <x:c r="AQ766" s="9"/>
      <x:c r="AR766" s="9"/>
      <x:c r="AS766" s="9"/>
      <x:c r="AT766" s="9"/>
      <x:c r="AU766" s="9" t="str">
        <x:v>No market</x:v>
      </x:c>
      <x:c r="AV766" s="9" t="str">
        <x:v>Not listed on PriceCharting, whose Macintosh console has only about 110 items (searched 2026-10-25).</x:v>
      </x:c>
      <x:c r="AW766" s="9"/>
      <x:c r="AX766" s="9"/>
      <x:c r="AY766" s="9"/>
      <x:c r="AZ766" s="9" t="str">
        <x:v>4.0</x:v>
      </x:c>
      <x:c r="BA766" s="11" t="str">
        <x:f>HYPERLINK("https://www.mobygames.com/game/3962/burncycle/","MobyGames")</x:f>
        <x:v>MobyGames</x:v>
      </x:c>
      <x:c r="BB766" s="9"/>
      <x:c r="BC766" s="9"/>
      <x:c r="BD766" s="9"/>
      <x:c r="BE766" s="11" t="str">
        <x:f>HYPERLINK("https://en.wikipedia.org/wiki/Burn_Cycle","Wikipedia")</x:f>
        <x:v>Wikipedia</x:v>
      </x:c>
      <x:c r="BF766" s="11" t="str">
        <x:f>HYPERLINK("https://backloggd.com/search/games/Burn%3ACycle/","Backloggd")</x:f>
        <x:v>Backloggd</x:v>
      </x:c>
      <x:c r="BG766" s="9"/>
      <x:c r="BH766" s="9"/>
      <x:c r="BI766" s="12" t="str">
        <x:v>No</x:v>
      </x:c>
      <x:c r="BJ766" s="12" t="str"/>
      <x:c r="BK766" s="12" t="str">
        <x:v>No</x:v>
      </x:c>
      <x:c r="BL766" s="12" t="str"/>
      <x:c r="BM766" s="12" t="str"/>
      <x:c r="BN766" s="12" t="str"/>
      <x:c r="BO766" s="12" t="str"/>
      <x:c r="BP766" s="12" t="str"/>
      <x:c r="BQ766" s="12" t="str"/>
    </x:row>
    <x:row r="767">
      <x:c r="A767" s="9" t="str">
        <x:v>mac-61</x:v>
      </x:c>
      <x:c r="B767" s="9" t="str">
        <x:v>hell-a-cyberpunk-thriller</x:v>
      </x:c>
      <x:c r="C767" s="9" t="str">
        <x:v>Macintosh</x:v>
      </x:c>
      <x:c r="D767" s="9" t="str">
        <x:v>Hell: A Cyberpunk Thriller</x:v>
      </x:c>
      <x:c r="E767" s="9" t="str"/>
      <x:c r="F767" s="9" t="str">
        <x:v>Take-Two Interactive</x:v>
      </x:c>
      <x:c r="G767" s="9" t="str">
        <x:v>GAGA Communications (JP; Namco also credited)</x:v>
      </x:c>
      <x:c r="H767" s="9" t="n">
        <x:v>1996</x:v>
      </x:c>
      <x:c r="I767" s="9" t="str">
        <x:v>No</x:v>
      </x:c>
      <x:c r="J767" s="9" t="str">
        <x:v>Yes</x:v>
      </x:c>
      <x:c r="K767" s="9" t="str">
        <x:v>No</x:v>
      </x:c>
      <x:c r="L767" s="9" t="str">
        <x:v>No</x:v>
      </x:c>
      <x:c r="M767" s="9" t="str">
        <x:v>Point-and-click adventure</x:v>
      </x:c>
      <x:c r="N767" s="9" t="str">
        <x:v>Live-action + CG</x:v>
      </x:c>
      <x:c r="O767" s="9" t="n">
        <x:v>6</x:v>
      </x:c>
      <x:c r="P767" s="9" t="str">
        <x:v>FMV adventure</x:v>
      </x:c>
      <x:c r="Q767" s="9" t="str">
        <x:v>Released</x:v>
      </x:c>
      <x:c r="R767" s="9" t="str">
        <x:v>PC original (MS-DOS, 1994)</x:v>
      </x:c>
      <x:c r="S767" s="9" t="str">
        <x:v>MS-DOS, 3DO, Windows (JP)</x:v>
      </x:c>
      <x:c r="T767" s="9" t="str">
        <x:v>Dennis Hopper, Grace Jones, Stephanie Seymour, Geoffrey Holder</x:v>
      </x:c>
      <x:c r="U767" s="9" t="n">
        <x:v>3</x:v>
      </x:c>
      <x:c r="V767" s="9" t="str">
        <x:v>Yes</x:v>
      </x:c>
      <x:c r="W767" s="9" t="str">
        <x:v>Mouse</x:v>
      </x:c>
      <x:c r="X767" s="9" t="str">
        <x:v>Low</x:v>
      </x:c>
      <x:c r="Y767" s="9" t="str"/>
      <x:c r="Z767" s="9" t="str">
        <x:v>6–10 hr</x:v>
      </x:c>
      <x:c r="AA767" s="9" t="str">
        <x:v>Dennis Hopper and Grace Jones voice CG demons in a 2095 theocratic Washington — and the 3DO runs the whole thing full screen.</x:v>
      </x:c>
      <x:c r="AB767" s="9" t="str">
        <x:v>None known</x:v>
      </x:c>
      <x:c r="AC767" s="9" t="str">
        <x:v>Unknown — verify</x:v>
      </x:c>
      <x:c r="AD767" s="9" t="str">
        <x:v>Hard; pixel-hunting cursor and script bugs can make puzzles unsolvable</x:v>
      </x:c>
      <x:c r="AE767" s="9" t="str">
        <x:v>Single ending</x:v>
      </x:c>
      <x:c r="AF767" s="9" t="str">
        <x:v>Sold 300,000 units in six months, yet CGW named it the 12th-worst computer game ever in 1996. Chet Williamson wrote a novelization.</x:v>
      </x:c>
      <x:c r="AG767" s="9" t="str">
        <x:v>Japan-only Mac release (Feb 29, 1996 per Wikipedia), likely Japanese-localised</x:v>
      </x:c>
      <x:c r="AH767" s="9" t="str">
        <x:v>No (verify GOG)</x:v>
      </x:c>
      <x:c r="AI767" s="9" t="str">
        <x:v>Import</x:v>
      </x:c>
      <x:c r="AJ767" s="9" t="str">
        <x:v>Plays on a 68k/PowerPC Mac with System 7 or in Basilisk II/SheepShaver. Requires the Japanese disc; English speakers are better served by the DOS or 3DO version.</x:v>
      </x:c>
      <x:c r="AK767" s="9" t="str">
        <x:v>The only Mac version is the Japanese release of Feb 29, 1996; no North American Mac edition. Japanese text/subtitles likely (verify). Disc count verify.</x:v>
      </x:c>
      <x:c r="AL767" s="10"/>
      <x:c r="AM767" s="10"/>
      <x:c r="AN767" s="10"/>
      <x:c r="AO767" s="9"/>
      <x:c r="AP767" s="11" t="str">
        <x:f>HYPERLINK("https://www.pricecharting.com/search-products?q=Hell%3A+A+Cyberpunk+Thriller+macintosh&amp;type=prices","PriceCharting")</x:f>
        <x:v>PriceCharting</x:v>
      </x:c>
      <x:c r="AQ767" s="9"/>
      <x:c r="AR767" s="9"/>
      <x:c r="AS767" s="9"/>
      <x:c r="AT767" s="9"/>
      <x:c r="AU767" s="9" t="str">
        <x:v>No market</x:v>
      </x:c>
      <x:c r="AV767" s="9" t="str">
        <x:v>Not listed on PriceCharting, whose Macintosh console has only about 110 items (searched 2026-10-25).</x:v>
      </x:c>
      <x:c r="AW767" s="9"/>
      <x:c r="AX767" s="9"/>
      <x:c r="AY767" s="9"/>
      <x:c r="AZ767" s="9"/>
      <x:c r="BA767" s="11" t="str">
        <x:f>HYPERLINK("https://www.mobygames.com/game/hell-a-cyberpunk-thriller","MobyGames")</x:f>
        <x:v>MobyGames</x:v>
      </x:c>
      <x:c r="BB767" s="9"/>
      <x:c r="BC767" s="9"/>
      <x:c r="BD767" s="9"/>
      <x:c r="BE767" s="11" t="str">
        <x:f>HYPERLINK("https://en.wikipedia.org/wiki/Hell:_A_Cyberpunk_Thriller","Wikipedia")</x:f>
        <x:v>Wikipedia</x:v>
      </x:c>
      <x:c r="BF767" s="11" t="str">
        <x:f>HYPERLINK("https://backloggd.com/search/games/Hell%3A%20A%20Cyberpunk%20Thriller/","Backloggd")</x:f>
        <x:v>Backloggd</x:v>
      </x:c>
      <x:c r="BG767" s="9"/>
      <x:c r="BH767" s="9"/>
      <x:c r="BI767" s="12" t="str">
        <x:v>No</x:v>
      </x:c>
      <x:c r="BJ767" s="12" t="str"/>
      <x:c r="BK767" s="12" t="str">
        <x:v>No</x:v>
      </x:c>
      <x:c r="BL767" s="12" t="str"/>
      <x:c r="BM767" s="12" t="str"/>
      <x:c r="BN767" s="12" t="str"/>
      <x:c r="BO767" s="12" t="str"/>
      <x:c r="BP767" s="12" t="str"/>
      <x:c r="BQ767" s="12" t="str"/>
    </x:row>
    <x:row r="768">
      <x:c r="A768" s="9" t="str">
        <x:v>mac-62</x:v>
      </x:c>
      <x:c r="B768" s="9" t="str">
        <x:v>command-and-conquer</x:v>
      </x:c>
      <x:c r="C768" s="9" t="str">
        <x:v>Macintosh</x:v>
      </x:c>
      <x:c r="D768" s="9" t="str">
        <x:v>Command &amp; Conquer</x:v>
      </x:c>
      <x:c r="E768" s="9" t="str">
        <x:v>Command &amp; Conquer: Tiberian Dawn (later retronym)</x:v>
      </x:c>
      <x:c r="F768" s="9" t="str">
        <x:v>Westwood Studios</x:v>
      </x:c>
      <x:c r="G768" s="9" t="str">
        <x:v>Virgin Interactive</x:v>
      </x:c>
      <x:c r="H768" s="9" t="n">
        <x:v>1996</x:v>
      </x:c>
      <x:c r="I768" s="9" t="str">
        <x:v>Yes</x:v>
      </x:c>
      <x:c r="J768" s="9" t="str">
        <x:v>No</x:v>
      </x:c>
      <x:c r="K768" s="9" t="str">
        <x:v>Yes</x:v>
      </x:c>
      <x:c r="L768" s="9" t="str">
        <x:v>No</x:v>
      </x:c>
      <x:c r="M768" s="9" t="str">
        <x:v>Real-time strategy</x:v>
      </x:c>
      <x:c r="N768" s="9" t="str">
        <x:v>Live-action + pre-rendered CG</x:v>
      </x:c>
      <x:c r="O768" s="9" t="n">
        <x:v>3</x:v>
      </x:c>
      <x:c r="P768" s="9" t="str">
        <x:v>Cutscenes only</x:v>
      </x:c>
      <x:c r="Q768" s="9" t="str">
        <x:v>Released</x:v>
      </x:c>
      <x:c r="R768" s="9" t="str">
        <x:v>PC original (1995)</x:v>
      </x:c>
      <x:c r="S768" s="9" t="str">
        <x:v>MS-DOS, Windows, Saturn, PlayStation, N64</x:v>
      </x:c>
      <x:c r="T768" s="9" t="str">
        <x:v>Joseph D. Kucan (Kane)</x:v>
      </x:c>
      <x:c r="U768" s="9" t="n">
        <x:v>2</x:v>
      </x:c>
      <x:c r="V768" s="9" t="str">
        <x:v>Yes</x:v>
      </x:c>
      <x:c r="W768" s="9" t="str">
        <x:v>Mouse</x:v>
      </x:c>
      <x:c r="X768" s="9" t="str">
        <x:v>Low</x:v>
      </x:c>
      <x:c r="Y768" s="9" t="str"/>
      <x:c r="Z768" s="9" t="str">
        <x:v>20–30 hr (both campaigns)</x:v>
      </x:c>
      <x:c r="AA768" s="9" t="str">
        <x:v>Kane's live-action briefings made Westwood's RTS the template for FMV cutscenes in strategy games.</x:v>
      </x:c>
      <x:c r="AB768" s="9" t="str">
        <x:v>None known</x:v>
      </x:c>
      <x:c r="AC768" s="9" t="str">
        <x:v>QuickTime-style 320x200 cutscenes, line-doubled; roughly 15 fps (verify for Mac build)</x:v>
      </x:c>
      <x:c r="AD768" s="9" t="str">
        <x:v>Moderate; later Nod/GDI missions are hard</x:v>
      </x:c>
      <x:c r="AE768" s="9" t="str">
        <x:v>Two campaigns (GDI and Nod), each with its own ending; Nod has a choice of final targets</x:v>
      </x:c>
      <x:c r="AF768" s="9" t="str">
        <x:v>Joseph Kucan was Westwood's casting director and also directed the live-action scenes before playing Kane himself.</x:v>
      </x:c>
      <x:c r="AG768" s="9" t="str">
        <x:v>Separate GDI and Nod discs; Mac version later included in Command &amp; Conquer Gold-era bundles (verify)</x:v>
      </x:c>
      <x:c r="AH768" s="9" t="str">
        <x:v>Yes (Command &amp; Conquer Remastered Collection, Steam/EA app, Windows; EA freeware release 2007)</x:v>
      </x:c>
      <x:c r="AI768" s="9" t="str">
        <x:v>Easy</x:v>
      </x:c>
      <x:c r="AJ768" s="9" t="str">
        <x:v>Mac CD in SheepShaver; the Remastered Collection (Steam/EA app) is Windows-only.</x:v>
      </x:c>
      <x:c r="AK768" s="9" t="str">
        <x:v>Mac release year 1996 from memory (verify). Kept in scope for its live-action briefings.</x:v>
      </x:c>
      <x:c r="AL768" s="10"/>
      <x:c r="AM768" s="10"/>
      <x:c r="AN768" s="10"/>
      <x:c r="AO768" s="9"/>
      <x:c r="AP768" s="11" t="str">
        <x:f>HYPERLINK("https://www.pricecharting.com/search-products?q=Command+%26+Conquer+macintosh&amp;type=prices","PriceCharting")</x:f>
        <x:v>PriceCharting</x:v>
      </x:c>
      <x:c r="AQ768" s="9"/>
      <x:c r="AR768" s="9"/>
      <x:c r="AS768" s="9"/>
      <x:c r="AT768" s="9"/>
      <x:c r="AU768" s="9" t="str">
        <x:v>No market</x:v>
      </x:c>
      <x:c r="AV768" s="9" t="str">
        <x:v>Not listed on PriceCharting, whose Macintosh console has only about 110 items (searched 2026-10-25).</x:v>
      </x:c>
      <x:c r="AW768" s="9"/>
      <x:c r="AX768" s="9"/>
      <x:c r="AY768" s="9" t="str">
        <x:v>81%</x:v>
      </x:c>
      <x:c r="AZ768" s="9" t="str">
        <x:v>4.2</x:v>
      </x:c>
      <x:c r="BA768" s="11" t="str">
        <x:f>HYPERLINK("https://www.mobygames.com/search/?q=Command+%26+Conquer","MobyGames")</x:f>
        <x:v>MobyGames</x:v>
      </x:c>
      <x:c r="BB768" s="9" t="str">
        <x:v>80%</x:v>
      </x:c>
      <x:c r="BC768" s="9" t="str">
        <x:v>GameRankings, 1 review</x:v>
      </x:c>
      <x:c r="BD768" s="9" t="str">
        <x:f>HYPERLINK("https://web.archive.org/web/20191209012350id_/https://www.gamerankings.com/mac/564864-command-and-conquer/","Source")</x:f>
        <x:v>Source</x:v>
      </x:c>
      <x:c r="BE768" s="11" t="str">
        <x:f>HYPERLINK("https://en.wikipedia.org/wiki/Command_%26_Conquer_(1995_video_game)","Wikipedia")</x:f>
        <x:v>Wikipedia</x:v>
      </x:c>
      <x:c r="BF768" s="11" t="str">
        <x:f>HYPERLINK("https://backloggd.com/search/games/Command%20%26%20Conquer/","Backloggd")</x:f>
        <x:v>Backloggd</x:v>
      </x:c>
      <x:c r="BG768" s="9"/>
      <x:c r="BH768" s="9"/>
      <x:c r="BI768" s="12" t="str">
        <x:v>No</x:v>
      </x:c>
      <x:c r="BJ768" s="12" t="str"/>
      <x:c r="BK768" s="12" t="str">
        <x:v>No</x:v>
      </x:c>
      <x:c r="BL768" s="12" t="str"/>
      <x:c r="BM768" s="12" t="str"/>
      <x:c r="BN768" s="12" t="str"/>
      <x:c r="BO768" s="12" t="str"/>
      <x:c r="BP768" s="12" t="str"/>
      <x:c r="BQ768" s="12" t="str"/>
    </x:row>
    <x:row r="769">
      <x:c r="A769" s="9" t="str">
        <x:v>mac-63</x:v>
      </x:c>
      <x:c r="B769" s="9" t="str">
        <x:v>command-and-conquer-red-alert</x:v>
      </x:c>
      <x:c r="C769" s="9" t="str">
        <x:v>Macintosh</x:v>
      </x:c>
      <x:c r="D769" s="9" t="str">
        <x:v>Command &amp; Conquer: Red Alert</x:v>
      </x:c>
      <x:c r="E769" s="9" t="str"/>
      <x:c r="F769" s="9" t="str">
        <x:v>Westwood Studios</x:v>
      </x:c>
      <x:c r="G769" s="9" t="str">
        <x:v>Virgin Interactive</x:v>
      </x:c>
      <x:c r="H769" s="9" t="n">
        <x:v>1997</x:v>
      </x:c>
      <x:c r="I769" s="9" t="str">
        <x:v>Yes</x:v>
      </x:c>
      <x:c r="J769" s="9" t="str">
        <x:v>No</x:v>
      </x:c>
      <x:c r="K769" s="9" t="str">
        <x:v>Yes</x:v>
      </x:c>
      <x:c r="L769" s="9" t="str">
        <x:v>No</x:v>
      </x:c>
      <x:c r="M769" s="9" t="str">
        <x:v>Real-time strategy</x:v>
      </x:c>
      <x:c r="N769" s="9" t="str">
        <x:v>Live-action + pre-rendered CG</x:v>
      </x:c>
      <x:c r="O769" s="9" t="n">
        <x:v>3</x:v>
      </x:c>
      <x:c r="P769" s="9" t="str">
        <x:v>Cutscenes only</x:v>
      </x:c>
      <x:c r="Q769" s="9" t="str">
        <x:v>Released</x:v>
      </x:c>
      <x:c r="R769" s="9" t="str">
        <x:v>PC original (1996)</x:v>
      </x:c>
      <x:c r="S769" s="9" t="str">
        <x:v>MS-DOS, Windows 95, PlayStation</x:v>
      </x:c>
      <x:c r="T769" s="9" t="str">
        <x:v>Joseph D. Kucan (Kane cameo); other cast (verify)</x:v>
      </x:c>
      <x:c r="U769" s="9" t="n">
        <x:v>2</x:v>
      </x:c>
      <x:c r="V769" s="9" t="str">
        <x:v>Yes</x:v>
      </x:c>
      <x:c r="W769" s="9" t="str">
        <x:v>Mouse</x:v>
      </x:c>
      <x:c r="X769" s="9" t="str">
        <x:v>Low</x:v>
      </x:c>
      <x:c r="Y769" s="9" t="str"/>
      <x:c r="Z769" s="9" t="str">
        <x:v>25–35 hr (both campaigns)</x:v>
      </x:c>
      <x:c r="AA769" s="9" t="str">
        <x:v>Alternate-history WWII with Stalin, Einstein and campy live-action briefings.</x:v>
      </x:c>
      <x:c r="AB769" s="9" t="str">
        <x:v>None known</x:v>
      </x:c>
      <x:c r="AC769" s="9" t="str">
        <x:v>Small letterboxed live-action cutscenes, about 15 fps (verify for Mac build)</x:v>
      </x:c>
      <x:c r="AD769" s="9" t="str">
        <x:v>Moderate to hard</x:v>
      </x:c>
      <x:c r="AE769" s="9" t="str">
        <x:v>Separate Allied and Soviet endings</x:v>
      </x:c>
      <x:c r="AF769" s="9" t="str">
        <x:v>The Soviet ending ties Red Alert into the original Command &amp; Conquer timeline via Kane.</x:v>
      </x:c>
      <x:c r="AG769" s="9" t="str">
        <x:v>Allied and Soviet discs; expansions Counterstrike/Aftermath were PC-only (verify)</x:v>
      </x:c>
      <x:c r="AH769" s="9" t="str">
        <x:v>Yes (Command &amp; Conquer Remastered Collection, Steam/EA app, Windows; EA freeware release 2008)</x:v>
      </x:c>
      <x:c r="AI769" s="9" t="str">
        <x:v>Easy</x:v>
      </x:c>
      <x:c r="AJ769" s="9" t="str">
        <x:v>Mac CD in SheepShaver; the Remastered Collection (Steam/EA app) is Windows-only.</x:v>
      </x:c>
      <x:c r="AK769" s="9" t="str">
        <x:v>Mac port year 1997 from memory (verify).</x:v>
      </x:c>
      <x:c r="AL769" s="10"/>
      <x:c r="AM769" s="10"/>
      <x:c r="AN769" s="10"/>
      <x:c r="AO769" s="9"/>
      <x:c r="AP769" s="11" t="str">
        <x:f>HYPERLINK("https://www.pricecharting.com/search-products?q=Command+%26+Conquer%3A+Red+Alert+macintosh&amp;type=prices","PriceCharting")</x:f>
        <x:v>PriceCharting</x:v>
      </x:c>
      <x:c r="AQ769" s="9"/>
      <x:c r="AR769" s="9"/>
      <x:c r="AS769" s="9"/>
      <x:c r="AT769" s="9"/>
      <x:c r="AU769" s="9" t="str">
        <x:v>No market</x:v>
      </x:c>
      <x:c r="AV769" s="9" t="str">
        <x:v>Not listed on PriceCharting, whose Macintosh console has only about 110 items (searched 2026-10-25).</x:v>
      </x:c>
      <x:c r="AW769" s="9"/>
      <x:c r="AX769" s="9"/>
      <x:c r="AY769" s="9"/>
      <x:c r="AZ769" s="9"/>
      <x:c r="BA769" s="11" t="str">
        <x:f>HYPERLINK("https://www.mobygames.com/search/?q=Command+%26+Conquer%3A+Red+Alert","MobyGames")</x:f>
        <x:v>MobyGames</x:v>
      </x:c>
      <x:c r="BB769" s="9"/>
      <x:c r="BC769" s="9"/>
      <x:c r="BD769" s="9"/>
      <x:c r="BE769" s="11" t="str">
        <x:f>HYPERLINK("https://en.wikipedia.org/wiki/Command_%26_Conquer:_Red_Alert","Wikipedia")</x:f>
        <x:v>Wikipedia</x:v>
      </x:c>
      <x:c r="BF769" s="11" t="str">
        <x:f>HYPERLINK("https://backloggd.com/search/games/Command%20%26%20Conquer%3A%20Red%20Alert/","Backloggd")</x:f>
        <x:v>Backloggd</x:v>
      </x:c>
      <x:c r="BG769" s="9"/>
      <x:c r="BH769" s="9"/>
      <x:c r="BI769" s="12" t="str">
        <x:v>No</x:v>
      </x:c>
      <x:c r="BJ769" s="12" t="str"/>
      <x:c r="BK769" s="12" t="str">
        <x:v>No</x:v>
      </x:c>
      <x:c r="BL769" s="12" t="str"/>
      <x:c r="BM769" s="12" t="str"/>
      <x:c r="BN769" s="12" t="str"/>
      <x:c r="BO769" s="12" t="str"/>
      <x:c r="BP769" s="12" t="str"/>
      <x:c r="BQ769" s="12" t="str"/>
    </x:row>
    <x:row r="770">
      <x:c r="A770" s="9" t="str">
        <x:v>mac-64</x:v>
      </x:c>
      <x:c r="B770" s="9" t="str">
        <x:v>prisoner-of-ice</x:v>
      </x:c>
      <x:c r="C770" s="9" t="str">
        <x:v>Macintosh</x:v>
      </x:c>
      <x:c r="D770" s="9" t="str">
        <x:v>Prisoner of Ice</x:v>
      </x:c>
      <x:c r="E770" s="9" t="str">
        <x:v>Call of Cthulhu: Prisoner of Ice</x:v>
      </x:c>
      <x:c r="F770" s="9" t="str">
        <x:v>Infogrames Multimedia</x:v>
      </x:c>
      <x:c r="G770" s="9" t="str">
        <x:v>I-Motion (NA), Infogrames (EU)</x:v>
      </x:c>
      <x:c r="H770" s="9" t="n">
        <x:v>1996</x:v>
      </x:c>
      <x:c r="I770" s="9" t="str">
        <x:v>Yes</x:v>
      </x:c>
      <x:c r="J770" s="9" t="str">
        <x:v>No</x:v>
      </x:c>
      <x:c r="K770" s="9" t="str">
        <x:v>Yes</x:v>
      </x:c>
      <x:c r="L770" s="9" t="str">
        <x:v>No</x:v>
      </x:c>
      <x:c r="M770" s="9" t="str">
        <x:v>Point-and-click adventure</x:v>
      </x:c>
      <x:c r="N770" s="9" t="str">
        <x:v>Pre-rendered CG</x:v>
      </x:c>
      <x:c r="O770" s="9" t="n">
        <x:v>3</x:v>
      </x:c>
      <x:c r="P770" s="9" t="str">
        <x:v>Cutscenes only</x:v>
      </x:c>
      <x:c r="Q770" s="9" t="str">
        <x:v>Released</x:v>
      </x:c>
      <x:c r="R770" s="9" t="str">
        <x:v>PC original (1995), Lovecraft-inspired</x:v>
      </x:c>
      <x:c r="S770" s="9" t="str">
        <x:v>MS-DOS/Windows, Saturn (JP), PlayStation (JP)</x:v>
      </x:c>
      <x:c r="T770" s="9" t="str">
        <x:v>—</x:v>
      </x:c>
      <x:c r="U770" s="9" t="n">
        <x:v>1</x:v>
      </x:c>
      <x:c r="V770" s="9" t="str">
        <x:v>Yes</x:v>
      </x:c>
      <x:c r="W770" s="9" t="str">
        <x:v>Mouse</x:v>
      </x:c>
      <x:c r="X770" s="9" t="str">
        <x:v>Low</x:v>
      </x:c>
      <x:c r="Y770" s="9" t="str"/>
      <x:c r="Z770" s="9" t="str">
        <x:v>6–8 hr</x:v>
      </x:c>
      <x:c r="AA770" s="9" t="str">
        <x:v>A Cthulhu Mythos adventure aboard a WWII submarine with pre-rendered CG set pieces.</x:v>
      </x:c>
      <x:c r="AB770" s="9" t="str">
        <x:v>None known</x:v>
      </x:c>
      <x:c r="AC770" s="9" t="str">
        <x:v>Pre-rendered CG cutscenes in a window over the 2D adventure (verify size/frame rate)</x:v>
      </x:c>
      <x:c r="AD770" s="9" t="str">
        <x:v>Moderate; timed death sequences</x:v>
      </x:c>
      <x:c r="AE770" s="9" t="str">
        <x:v>Multiple endings depending on choices late in the game (verify)</x:v>
      </x:c>
      <x:c r="AF770" s="9" t="str">
        <x:v>Sold over 30,000 units in the US on its first day, per Les Échos.</x:v>
      </x:c>
      <x:c r="AG770" s="9" t="str">
        <x:v>Mac NA release 15 July 1996; EU Mac release by Infogrames unconfirmed (verify)</x:v>
      </x:c>
      <x:c r="AH770" s="9" t="str">
        <x:v>Yes (GOG, bundled with Shadow of the Comet; Windows)</x:v>
      </x:c>
      <x:c r="AI770" s="9" t="str">
        <x:v>Easy</x:v>
      </x:c>
      <x:c r="AJ770" s="9" t="str">
        <x:v>Mac CD in SheepShaver/Basilisk II; GOG sells the PC version.</x:v>
      </x:c>
      <x:c r="AK770" s="9" t="str">
        <x:v>Video is CG cutscenes; borderline for big-library scope.</x:v>
      </x:c>
      <x:c r="AL770" s="10"/>
      <x:c r="AM770" s="10"/>
      <x:c r="AN770" s="10"/>
      <x:c r="AO770" s="9"/>
      <x:c r="AP770" s="11" t="str">
        <x:f>HYPERLINK("https://www.pricecharting.com/search-products?q=Prisoner+of+Ice+macintosh&amp;type=prices","PriceCharting")</x:f>
        <x:v>PriceCharting</x:v>
      </x:c>
      <x:c r="AQ770" s="9"/>
      <x:c r="AR770" s="9"/>
      <x:c r="AS770" s="9"/>
      <x:c r="AT770" s="9"/>
      <x:c r="AU770" s="9" t="str">
        <x:v>No market</x:v>
      </x:c>
      <x:c r="AV770" s="9" t="str">
        <x:v>Not listed on PriceCharting, whose Macintosh console has only about 110 items (searched 2026-10-25). The PC version is on Steam ($5.99).</x:v>
      </x:c>
      <x:c r="AW770" s="9"/>
      <x:c r="AX770" s="9"/>
      <x:c r="AY770" s="9"/>
      <x:c r="AZ770" s="9"/>
      <x:c r="BA770" s="11" t="str">
        <x:f>HYPERLINK("https://www.mobygames.com/search/?q=Prisoner+of+Ice","MobyGames")</x:f>
        <x:v>MobyGames</x:v>
      </x:c>
      <x:c r="BB770" s="9"/>
      <x:c r="BC770" s="9"/>
      <x:c r="BD770" s="9"/>
      <x:c r="BE770" s="11" t="str">
        <x:f>HYPERLINK("https://en.wikipedia.org/wiki/Prisoner_of_Ice","Wikipedia")</x:f>
        <x:v>Wikipedia</x:v>
      </x:c>
      <x:c r="BF770" s="11" t="str">
        <x:f>HYPERLINK("https://backloggd.com/search/games/Prisoner%20of%20Ice/","Backloggd")</x:f>
        <x:v>Backloggd</x:v>
      </x:c>
      <x:c r="BG770" s="9"/>
      <x:c r="BH770" s="9"/>
      <x:c r="BI770" s="12" t="str">
        <x:v>No</x:v>
      </x:c>
      <x:c r="BJ770" s="12" t="str"/>
      <x:c r="BK770" s="12" t="str">
        <x:v>No</x:v>
      </x:c>
      <x:c r="BL770" s="12" t="str"/>
      <x:c r="BM770" s="12" t="str"/>
      <x:c r="BN770" s="12" t="str"/>
      <x:c r="BO770" s="12" t="str"/>
      <x:c r="BP770" s="12" t="str"/>
      <x:c r="BQ770" s="12" t="str"/>
    </x:row>
    <x:row r="771">
      <x:c r="A771" s="9" t="str">
        <x:v>mac-65</x:v>
      </x:c>
      <x:c r="B771" s="9" t="str">
        <x:v>lost-eden</x:v>
      </x:c>
      <x:c r="C771" s="9" t="str">
        <x:v>Macintosh</x:v>
      </x:c>
      <x:c r="D771" s="9" t="str">
        <x:v>Lost Eden</x:v>
      </x:c>
      <x:c r="E771" s="9" t="str"/>
      <x:c r="F771" s="9" t="str">
        <x:v>Cryo Interactive</x:v>
      </x:c>
      <x:c r="G771" s="9" t="str">
        <x:v>Virgin Interactive</x:v>
      </x:c>
      <x:c r="H771" s="9" t="n">
        <x:v>1995</x:v>
      </x:c>
      <x:c r="I771" s="9" t="str">
        <x:v>Yes</x:v>
      </x:c>
      <x:c r="J771" s="9" t="str">
        <x:v>No</x:v>
      </x:c>
      <x:c r="K771" s="9" t="str">
        <x:v>Yes</x:v>
      </x:c>
      <x:c r="L771" s="9" t="str">
        <x:v>No</x:v>
      </x:c>
      <x:c r="M771" s="9" t="str">
        <x:v>Adventure</x:v>
      </x:c>
      <x:c r="N771" s="9" t="str">
        <x:v>Pre-rendered CG</x:v>
      </x:c>
      <x:c r="O771" s="9" t="n">
        <x:v>5</x:v>
      </x:c>
      <x:c r="P771" s="9" t="str">
        <x:v>Pre-rendered CG</x:v>
      </x:c>
      <x:c r="Q771" s="9" t="str">
        <x:v>Released</x:v>
      </x:c>
      <x:c r="R771" s="9" t="str">
        <x:v>PC original</x:v>
      </x:c>
      <x:c r="S771" s="9" t="str">
        <x:v>MS-DOS, 3DO, CD-i</x:v>
      </x:c>
      <x:c r="T771" s="9" t="str">
        <x:v>—</x:v>
      </x:c>
      <x:c r="U771" s="9" t="n">
        <x:v>1</x:v>
      </x:c>
      <x:c r="V771" s="9" t="str">
        <x:v>Yes</x:v>
      </x:c>
      <x:c r="W771" s="9" t="str">
        <x:v>Mouse</x:v>
      </x:c>
      <x:c r="X771" s="9" t="str">
        <x:v>Low</x:v>
      </x:c>
      <x:c r="Y771" s="9" t="str"/>
      <x:c r="Z771" s="9" t="str">
        <x:v>8–10 hr</x:v>
      </x:c>
      <x:c r="AA771" s="9" t="str">
        <x:v>Cryo's dinosaur-and-human fantasy, told almost entirely in lush pre-rendered CG.</x:v>
      </x:c>
      <x:c r="AB771" s="9" t="str">
        <x:v>None known</x:v>
      </x:c>
      <x:c r="AC771" s="9" t="str">
        <x:v>Pre-rendered CG movement and cutscenes, small window (verify)</x:v>
      </x:c>
      <x:c r="AD771" s="9" t="str">
        <x:v>Easy to moderate</x:v>
      </x:c>
      <x:c r="AE771" s="9" t="str">
        <x:v>Single ending</x:v>
      </x:c>
      <x:c r="AF771" s="9" t="str">
        <x:v>Stéphane Picq composed the soundtrack, as he did for Cryo's Dune.</x:v>
      </x:c>
      <x:c r="AG771" s="9" t="str"/>
      <x:c r="AH771" s="9" t="str">
        <x:v>Unknown — verify (GOG listing not confirmed)</x:v>
      </x:c>
      <x:c r="AI771" s="9" t="str">
        <x:v>Easy</x:v>
      </x:c>
      <x:c r="AJ771" s="9" t="str">
        <x:v>Original Mac CD in SheepShaver/Basilisk II or on a 1990s Mac.</x:v>
      </x:c>
      <x:c r="AK771" s="9" t="str">
        <x:v>Mac release March 1995 per Wikipedia; region not given.</x:v>
      </x:c>
      <x:c r="AL771" s="10"/>
      <x:c r="AM771" s="10"/>
      <x:c r="AN771" s="10"/>
      <x:c r="AO771" s="9"/>
      <x:c r="AP771" s="11" t="str">
        <x:f>HYPERLINK("https://www.pricecharting.com/game/macintosh/lost-eden","PriceCharting")</x:f>
        <x:v>PriceCharting</x:v>
      </x:c>
      <x:c r="AQ771" s="9"/>
      <x:c r="AR771" s="9"/>
      <x:c r="AS771" s="9"/>
      <x:c r="AT771" s="9"/>
      <x:c r="AU771" s="9" t="str">
        <x:v>No market</x:v>
      </x:c>
      <x:c r="AV771" s="9" t="str">
        <x:v>Not listed on PriceCharting, whose Macintosh console has only about 110 items (searched 2026-10-25). The PC version is on Steam ($9.99).</x:v>
      </x:c>
      <x:c r="AW771" s="9"/>
      <x:c r="AX771" s="9"/>
      <x:c r="AY771" s="9"/>
      <x:c r="AZ771" s="9"/>
      <x:c r="BA771" s="11" t="str">
        <x:f>HYPERLINK("https://www.mobygames.com/search/?q=Lost+Eden","MobyGames")</x:f>
        <x:v>MobyGames</x:v>
      </x:c>
      <x:c r="BB771" s="9"/>
      <x:c r="BC771" s="9"/>
      <x:c r="BD771" s="9"/>
      <x:c r="BE771" s="11" t="str">
        <x:f>HYPERLINK("https://en.wikipedia.org/wiki/Lost_Eden","Wikipedia")</x:f>
        <x:v>Wikipedia</x:v>
      </x:c>
      <x:c r="BF771" s="11" t="str">
        <x:f>HYPERLINK("https://backloggd.com/search/games/Lost%20Eden/","Backloggd")</x:f>
        <x:v>Backloggd</x:v>
      </x:c>
      <x:c r="BG771" s="9"/>
      <x:c r="BH771" s="9"/>
      <x:c r="BI771" s="12" t="str">
        <x:v>No</x:v>
      </x:c>
      <x:c r="BJ771" s="12" t="str"/>
      <x:c r="BK771" s="12" t="str">
        <x:v>No</x:v>
      </x:c>
      <x:c r="BL771" s="12" t="str"/>
      <x:c r="BM771" s="12" t="str"/>
      <x:c r="BN771" s="12" t="str"/>
      <x:c r="BO771" s="12" t="str"/>
      <x:c r="BP771" s="12" t="str"/>
      <x:c r="BQ771" s="12" t="str"/>
    </x:row>
    <x:row r="772">
      <x:c r="A772" s="9" t="str">
        <x:v>mac-66</x:v>
      </x:c>
      <x:c r="B772" s="9" t="str">
        <x:v>rama</x:v>
      </x:c>
      <x:c r="C772" s="9" t="str">
        <x:v>Macintosh</x:v>
      </x:c>
      <x:c r="D772" s="9" t="str">
        <x:v>Rama</x:v>
      </x:c>
      <x:c r="E772" s="9" t="str"/>
      <x:c r="F772" s="9" t="str">
        <x:v>Dynamix</x:v>
      </x:c>
      <x:c r="G772" s="9" t="str">
        <x:v>Sierra On-Line</x:v>
      </x:c>
      <x:c r="H772" s="9" t="n">
        <x:v>1997</x:v>
      </x:c>
      <x:c r="I772" s="9" t="str">
        <x:v>Yes</x:v>
      </x:c>
      <x:c r="J772" s="9" t="str">
        <x:v>No</x:v>
      </x:c>
      <x:c r="K772" s="9" t="str">
        <x:v>Yes</x:v>
      </x:c>
      <x:c r="L772" s="9" t="str">
        <x:v>No</x:v>
      </x:c>
      <x:c r="M772" s="9" t="str">
        <x:v>Adventure</x:v>
      </x:c>
      <x:c r="N772" s="9" t="str">
        <x:v>Live-action + pre-rendered CG</x:v>
      </x:c>
      <x:c r="O772" s="9" t="n">
        <x:v>5</x:v>
      </x:c>
      <x:c r="P772" s="9" t="str">
        <x:v>FMV adventure</x:v>
      </x:c>
      <x:c r="Q772" s="9" t="str">
        <x:v>Released</x:v>
      </x:c>
      <x:c r="R772" s="9" t="str">
        <x:v>Novel adaptation (Arthur C. Clarke &amp; Gentry Lee, Rendezvous with Rama/Rama II)</x:v>
      </x:c>
      <x:c r="S772" s="9" t="str">
        <x:v>MS-DOS/Windows, PlayStation (JP)</x:v>
      </x:c>
      <x:c r="T772" s="9" t="str">
        <x:v>Arthur C. Clarke (himself), Jim Ishida, Robert Nadir, Amy Hunter</x:v>
      </x:c>
      <x:c r="U772" s="9" t="n">
        <x:v>3</x:v>
      </x:c>
      <x:c r="V772" s="9" t="str">
        <x:v>Yes</x:v>
      </x:c>
      <x:c r="W772" s="9" t="str">
        <x:v>Mouse</x:v>
      </x:c>
      <x:c r="X772" s="9" t="str">
        <x:v>Low</x:v>
      </x:c>
      <x:c r="Y772" s="9" t="str"/>
      <x:c r="Z772" s="9" t="str">
        <x:v>15–20 hr</x:v>
      </x:c>
      <x:c r="AA772" s="9" t="str">
        <x:v>Arthur C. Clarke himself appears to guide you through Rama in this Myst-like adventure.</x:v>
      </x:c>
      <x:c r="AB772" s="9" t="str">
        <x:v>None known</x:v>
      </x:c>
      <x:c r="AC772" s="9" t="str">
        <x:v>Live-action characters composited into pre-rendered CG (verify size)</x:v>
      </x:c>
      <x:c r="AD772" s="9" t="str">
        <x:v>Hard; maths and logic puzzles</x:v>
      </x:c>
      <x:c r="AE772" s="9" t="str">
        <x:v>Single ending</x:v>
      </x:c>
      <x:c r="AF772" s="9" t="str">
        <x:v>The third disc holds bonus videos, including an interview with Clarke and Gentry Lee.</x:v>
      </x:c>
      <x:c r="AG772" s="9" t="str">
        <x:v>Mac release January 1997 (NA); EU 1997</x:v>
      </x:c>
      <x:c r="AH772" s="9" t="str">
        <x:v>No</x:v>
      </x:c>
      <x:c r="AI772" s="9" t="str">
        <x:v>Easy</x:v>
      </x:c>
      <x:c r="AJ772" s="9" t="str">
        <x:v>Original Mac CD in SheepShaver/Basilisk II or on a 1990s Mac.</x:v>
      </x:c>
      <x:c r="AK772" s="9" t="str">
        <x:v>Hybrid Mac/PC disc unconfirmed (verify).</x:v>
      </x:c>
      <x:c r="AL772" s="10"/>
      <x:c r="AM772" s="10"/>
      <x:c r="AN772" s="10"/>
      <x:c r="AO772" s="9"/>
      <x:c r="AP772" s="11" t="str">
        <x:f>HYPERLINK("https://www.pricecharting.com/search-products?q=Rama+macintosh&amp;type=prices","PriceCharting")</x:f>
        <x:v>PriceCharting</x:v>
      </x:c>
      <x:c r="AQ772" s="9"/>
      <x:c r="AR772" s="9"/>
      <x:c r="AS772" s="9"/>
      <x:c r="AT772" s="9"/>
      <x:c r="AU772" s="9" t="str">
        <x:v>No market</x:v>
      </x:c>
      <x:c r="AV772" s="9" t="str">
        <x:v>Not listed on PriceCharting, whose Macintosh console has only about 110 items (searched 2026-10-25).</x:v>
      </x:c>
      <x:c r="AW772" s="9"/>
      <x:c r="AX772" s="9"/>
      <x:c r="AY772" s="9" t="str">
        <x:v>70%</x:v>
      </x:c>
      <x:c r="AZ772" s="9"/>
      <x:c r="BA772" s="11" t="str">
        <x:f>HYPERLINK("https://www.mobygames.com/search/?q=Rama","MobyGames")</x:f>
        <x:v>MobyGames</x:v>
      </x:c>
      <x:c r="BB772" s="9"/>
      <x:c r="BC772" s="9"/>
      <x:c r="BD772" s="9"/>
      <x:c r="BE772" s="11" t="str">
        <x:f>HYPERLINK("https://en.wikipedia.org/wiki/Rama_(video_game)","Wikipedia")</x:f>
        <x:v>Wikipedia</x:v>
      </x:c>
      <x:c r="BF772" s="11" t="str">
        <x:f>HYPERLINK("https://backloggd.com/search/games/Rama/","Backloggd")</x:f>
        <x:v>Backloggd</x:v>
      </x:c>
      <x:c r="BG772" s="9"/>
      <x:c r="BH772" s="9"/>
      <x:c r="BI772" s="12" t="str">
        <x:v>No</x:v>
      </x:c>
      <x:c r="BJ772" s="12" t="str"/>
      <x:c r="BK772" s="12" t="str">
        <x:v>No</x:v>
      </x:c>
      <x:c r="BL772" s="12" t="str"/>
      <x:c r="BM772" s="12" t="str"/>
      <x:c r="BN772" s="12" t="str"/>
      <x:c r="BO772" s="12" t="str"/>
      <x:c r="BP772" s="12" t="str"/>
      <x:c r="BQ772" s="12" t="str"/>
    </x:row>
    <x:row r="773">
      <x:c r="A773" s="9" t="str">
        <x:v>mac-67</x:v>
      </x:c>
      <x:c r="B773" s="9" t="str">
        <x:v>star-trek-the-next-generation-a-final-unity</x:v>
      </x:c>
      <x:c r="C773" s="9" t="str">
        <x:v>Macintosh</x:v>
      </x:c>
      <x:c r="D773" s="9" t="str">
        <x:v>Star Trek: The Next Generation – A Final Unity</x:v>
      </x:c>
      <x:c r="E773" s="9" t="str"/>
      <x:c r="F773" s="9" t="str">
        <x:v>Spectrum HoloByte</x:v>
      </x:c>
      <x:c r="G773" s="9" t="str">
        <x:v>Spectrum HoloByte</x:v>
      </x:c>
      <x:c r="H773" s="9" t="n">
        <x:v>1996</x:v>
      </x:c>
      <x:c r="I773" s="9" t="str">
        <x:v>Yes</x:v>
      </x:c>
      <x:c r="J773" s="9" t="str">
        <x:v>No</x:v>
      </x:c>
      <x:c r="K773" s="9" t="str">
        <x:v>No</x:v>
      </x:c>
      <x:c r="L773" s="9" t="str">
        <x:v>No</x:v>
      </x:c>
      <x:c r="M773" s="9" t="str">
        <x:v>Adventure / starship sim</x:v>
      </x:c>
      <x:c r="N773" s="9" t="str">
        <x:v>Pre-rendered CG</x:v>
      </x:c>
      <x:c r="O773" s="9" t="n">
        <x:v>3</x:v>
      </x:c>
      <x:c r="P773" s="9" t="str">
        <x:v>Cutscenes only</x:v>
      </x:c>
      <x:c r="Q773" s="9" t="str">
        <x:v>Released</x:v>
      </x:c>
      <x:c r="R773" s="9" t="str">
        <x:v>TV license (Star Trek: The Next Generation)</x:v>
      </x:c>
      <x:c r="S773" s="9" t="str">
        <x:v>MS-DOS</x:v>
      </x:c>
      <x:c r="T773" s="9" t="str">
        <x:v>Voices of the TNG cast: Patrick Stewart, Jonathan Frakes, Brent Spiner and others (no Wil Wheaton); Majel Barrett as the computer</x:v>
      </x:c>
      <x:c r="U773" s="9" t="n">
        <x:v>1</x:v>
      </x:c>
      <x:c r="V773" s="9" t="str">
        <x:v>Yes</x:v>
      </x:c>
      <x:c r="W773" s="9" t="str">
        <x:v>Mouse</x:v>
      </x:c>
      <x:c r="X773" s="9" t="str">
        <x:v>Med</x:v>
      </x:c>
      <x:c r="Y773" s="9" t="str">
        <x:v>Star Trek theme and Paramount-licensed music</x:v>
      </x:c>
      <x:c r="Z773" s="9" t="str">
        <x:v>15–20 hr</x:v>
      </x:c>
      <x:c r="AA773" s="9" t="str">
        <x:v>A full TNG episode-style adventure voiced by the real cast, with CG Enterprise cutscenes.</x:v>
      </x:c>
      <x:c r="AB773" s="9" t="str">
        <x:v>None known</x:v>
      </x:c>
      <x:c r="AC773" s="9" t="str">
        <x:v>Pre-rendered CG space cutscenes, replayable on the holodeck (verify size)</x:v>
      </x:c>
      <x:c r="AD773" s="9" t="str">
        <x:v>Moderate</x:v>
      </x:c>
      <x:c r="AE773" s="9" t="str">
        <x:v>Single ending</x:v>
      </x:c>
      <x:c r="AF773" s="9" t="str">
        <x:v>A Jaguar CD version was planned but never released; the PC version sold 500,000 copies by 1996.</x:v>
      </x:c>
      <x:c r="AG773" s="9" t="str"/>
      <x:c r="AH773" s="9" t="str">
        <x:v>No</x:v>
      </x:c>
      <x:c r="AI773" s="9" t="str">
        <x:v>Easy</x:v>
      </x:c>
      <x:c r="AJ773" s="9" t="str">
        <x:v>Original Mac CD in SheepShaver/Basilisk II or on a 1990s Mac.</x:v>
      </x:c>
      <x:c r="AK773" s="9" t="str">
        <x:v>Mac port year 1996 from memory (verify).</x:v>
      </x:c>
      <x:c r="AL773" s="10"/>
      <x:c r="AM773" s="10"/>
      <x:c r="AN773" s="10"/>
      <x:c r="AO773" s="9"/>
      <x:c r="AP773" s="11" t="str">
        <x:f>HYPERLINK("https://www.pricecharting.com/search-products?q=Star+Trek%3A+The+Next+Generation+%E2%80%93+A+Final+Unity+macintosh&amp;type=prices","PriceCharting")</x:f>
        <x:v>PriceCharting</x:v>
      </x:c>
      <x:c r="AQ773" s="9"/>
      <x:c r="AR773" s="9"/>
      <x:c r="AS773" s="9"/>
      <x:c r="AT773" s="9"/>
      <x:c r="AU773" s="9" t="str">
        <x:v>No market</x:v>
      </x:c>
      <x:c r="AV773" s="9" t="str">
        <x:v>Not listed on PriceCharting, whose Macintosh console has only about 110 items (searched 2026-10-25).</x:v>
      </x:c>
      <x:c r="AW773" s="9"/>
      <x:c r="AX773" s="9"/>
      <x:c r="AY773" s="9"/>
      <x:c r="AZ773" s="9" t="str">
        <x:v>3.8</x:v>
      </x:c>
      <x:c r="BA773" s="11" t="str">
        <x:f>HYPERLINK("https://www.mobygames.com/search/?q=Star+Trek%3A+The+Next+Generation+%E2%80%93+A+Final+Unity","MobyGames")</x:f>
        <x:v>MobyGames</x:v>
      </x:c>
      <x:c r="BB773" s="9" t="str">
        <x:v>50%</x:v>
      </x:c>
      <x:c r="BC773" s="9" t="str">
        <x:v>MacUser on Wikipedia, 1 review</x:v>
      </x:c>
      <x:c r="BD773" s="9" t="str">
        <x:f>HYPERLINK("https://en.wikipedia.org/wiki/Star_Trek%3A_The_Next_Generation_%E2%80%93_A_Final_Unity","Source")</x:f>
        <x:v>Source</x:v>
      </x:c>
      <x:c r="BE773" s="11" t="str">
        <x:f>HYPERLINK("https://en.wikipedia.org/wiki/Star_Trek:_The_Next_Generation_–_A_Final_Unity","Wikipedia")</x:f>
        <x:v>Wikipedia</x:v>
      </x:c>
      <x:c r="BF773" s="11" t="str">
        <x:f>HYPERLINK("https://backloggd.com/search/games/Star%20Trek%3A%20The%20Next%20Generation%20%E2%80%93%20A%20Final%20Unity/","Backloggd")</x:f>
        <x:v>Backloggd</x:v>
      </x:c>
      <x:c r="BG773" s="9"/>
      <x:c r="BH773" s="9"/>
      <x:c r="BI773" s="12" t="str">
        <x:v>No</x:v>
      </x:c>
      <x:c r="BJ773" s="12" t="str"/>
      <x:c r="BK773" s="12" t="str">
        <x:v>No</x:v>
      </x:c>
      <x:c r="BL773" s="12" t="str"/>
      <x:c r="BM773" s="12" t="str"/>
      <x:c r="BN773" s="12" t="str"/>
      <x:c r="BO773" s="12" t="str"/>
      <x:c r="BP773" s="12" t="str"/>
      <x:c r="BQ773" s="12" t="str"/>
    </x:row>
    <x:row r="774">
      <x:c r="A774" s="9" t="str">
        <x:v>mac-68</x:v>
      </x:c>
      <x:c r="B774" s="9" t="str">
        <x:v>the-vortex-quantum-gate-ii</x:v>
      </x:c>
      <x:c r="C774" s="9" t="str">
        <x:v>Macintosh</x:v>
      </x:c>
      <x:c r="D774" s="9" t="str">
        <x:v>The Vortex: Quantum Gate II</x:v>
      </x:c>
      <x:c r="E774" s="9" t="str"/>
      <x:c r="F774" s="9" t="str">
        <x:v>Hyperbole Studios</x:v>
      </x:c>
      <x:c r="G774" s="9" t="str">
        <x:v>Hyperbole Studios (verify)</x:v>
      </x:c>
      <x:c r="H774" s="9" t="n">
        <x:v>1994</x:v>
      </x:c>
      <x:c r="I774" s="9" t="str">
        <x:v>Yes</x:v>
      </x:c>
      <x:c r="J774" s="9" t="str">
        <x:v>No</x:v>
      </x:c>
      <x:c r="K774" s="9" t="str">
        <x:v>No</x:v>
      </x:c>
      <x:c r="L774" s="9" t="str">
        <x:v>No</x:v>
      </x:c>
      <x:c r="M774" s="9" t="str">
        <x:v>Interactive movie</x:v>
      </x:c>
      <x:c r="N774" s="9" t="str">
        <x:v>Live-action</x:v>
      </x:c>
      <x:c r="O774" s="9" t="n">
        <x:v>9</x:v>
      </x:c>
      <x:c r="P774" s="9" t="str">
        <x:v>Interactive movie</x:v>
      </x:c>
      <x:c r="Q774" s="9" t="str">
        <x:v>Released</x:v>
      </x:c>
      <x:c r="R774" s="9" t="str">
        <x:v>Original production; sequel to Quantum Gate</x:v>
      </x:c>
      <x:c r="S774" s="9" t="str">
        <x:v>Windows</x:v>
      </x:c>
      <x:c r="T774" s="9" t="str">
        <x:v>—</x:v>
      </x:c>
      <x:c r="U774" s="9" t="str">
        <x:v>Unknown — verify</x:v>
      </x:c>
      <x:c r="V774" s="9" t="str">
        <x:v>Yes</x:v>
      </x:c>
      <x:c r="W774" s="9" t="str">
        <x:v>Mouse</x:v>
      </x:c>
      <x:c r="X774" s="9" t="str">
        <x:v>Low</x:v>
      </x:c>
      <x:c r="Y774" s="9" t="str"/>
      <x:c r="Z774" s="9" t="str">
        <x:v>3–5 hr</x:v>
      </x:c>
      <x:c r="AA774" s="9" t="str">
        <x:v>Hyperbole's 'VirtualCinema' sequel: a live-action sci-fi drama you steer with dialogue choices.</x:v>
      </x:c>
      <x:c r="AB774" s="9" t="str">
        <x:v>None known</x:v>
      </x:c>
      <x:c r="AC774" s="9" t="str">
        <x:v>Live-action QuickTime video in a window (verify)</x:v>
      </x:c>
      <x:c r="AD774" s="9" t="str">
        <x:v>Easy</x:v>
      </x:c>
      <x:c r="AE774" s="9" t="str">
        <x:v>Branching; multiple outcomes (verify)</x:v>
      </x:c>
      <x:c r="AF774" s="9" t="str">
        <x:v>Entertainment Weekly gave it a C.</x:v>
      </x:c>
      <x:c r="AG774" s="9" t="str">
        <x:v>hybrid Mac/PC disc (verify)</x:v>
      </x:c>
      <x:c r="AH774" s="9" t="str">
        <x:v>No</x:v>
      </x:c>
      <x:c r="AI774" s="9" t="str">
        <x:v>Easy</x:v>
      </x:c>
      <x:c r="AJ774" s="9" t="str">
        <x:v>Original Mac CD in SheepShaver/Basilisk II or on a 1990s Mac.</x:v>
      </x:c>
      <x:c r="AK774" s="9" t="str">
        <x:v>Wikipedia lists Mac and Windows; publisher and disc count unconfirmed.</x:v>
      </x:c>
      <x:c r="AL774" s="10"/>
      <x:c r="AM774" s="10"/>
      <x:c r="AN774" s="10"/>
      <x:c r="AO774" s="9"/>
      <x:c r="AP774" s="11" t="str">
        <x:f>HYPERLINK("https://www.pricecharting.com/search-products?q=The+Vortex%3A+Quantum+Gate+II+macintosh&amp;type=prices","PriceCharting")</x:f>
        <x:v>PriceCharting</x:v>
      </x:c>
      <x:c r="AQ774" s="9"/>
      <x:c r="AR774" s="9"/>
      <x:c r="AS774" s="9"/>
      <x:c r="AT774" s="9"/>
      <x:c r="AU774" s="9" t="str">
        <x:v>No market</x:v>
      </x:c>
      <x:c r="AV774" s="9" t="str">
        <x:v>Not listed on PriceCharting, whose Macintosh console has only about 110 items (searched 2026-10-25).</x:v>
      </x:c>
      <x:c r="AW774" s="9"/>
      <x:c r="AX774" s="9"/>
      <x:c r="AY774" s="9"/>
      <x:c r="AZ774" s="9"/>
      <x:c r="BA774" s="11" t="str">
        <x:f>HYPERLINK("https://www.mobygames.com/search/?q=The+Vortex%3A+Quantum+Gate+II","MobyGames")</x:f>
        <x:v>MobyGames</x:v>
      </x:c>
      <x:c r="BB774" s="9"/>
      <x:c r="BC774" s="9"/>
      <x:c r="BD774" s="9"/>
      <x:c r="BE774" s="11" t="str">
        <x:f>HYPERLINK("https://en.wikipedia.org/wiki/The_Vortex:_Quantum_Gate_II","Wikipedia")</x:f>
        <x:v>Wikipedia</x:v>
      </x:c>
      <x:c r="BF774" s="11" t="str">
        <x:f>HYPERLINK("https://backloggd.com/search/games/The%20Vortex%3A%20Quantum%20Gate%20II/","Backloggd")</x:f>
        <x:v>Backloggd</x:v>
      </x:c>
      <x:c r="BG774" s="9"/>
      <x:c r="BH774" s="9"/>
      <x:c r="BI774" s="12" t="str">
        <x:v>No</x:v>
      </x:c>
      <x:c r="BJ774" s="12" t="str"/>
      <x:c r="BK774" s="12" t="str">
        <x:v>No</x:v>
      </x:c>
      <x:c r="BL774" s="12" t="str"/>
      <x:c r="BM774" s="12" t="str"/>
      <x:c r="BN774" s="12" t="str"/>
      <x:c r="BO774" s="12" t="str"/>
      <x:c r="BP774" s="12" t="str"/>
      <x:c r="BQ774" s="12" t="str"/>
    </x:row>
    <x:row r="775">
      <x:c r="A775" s="9" t="str">
        <x:v>mac-69</x:v>
      </x:c>
      <x:c r="B775" s="9" t="str">
        <x:v>thayers-quest</x:v>
      </x:c>
      <x:c r="C775" s="9" t="str">
        <x:v>Macintosh</x:v>
      </x:c>
      <x:c r="D775" s="9" t="str">
        <x:v>Kingdom: The Far Reaches</x:v>
      </x:c>
      <x:c r="E775" s="9" t="str">
        <x:v>Thayer's Quest (original 1984 laserdisc)</x:v>
      </x:c>
      <x:c r="F775" s="9" t="str">
        <x:v>RDI Video Systems</x:v>
      </x:c>
      <x:c r="G775" s="9" t="str">
        <x:v>Interplay (verify)</x:v>
      </x:c>
      <x:c r="H775" s="9" t="n">
        <x:v>1995</x:v>
      </x:c>
      <x:c r="I775" s="9" t="str">
        <x:v>Yes</x:v>
      </x:c>
      <x:c r="J775" s="9" t="str">
        <x:v>No</x:v>
      </x:c>
      <x:c r="K775" s="9" t="str">
        <x:v>No</x:v>
      </x:c>
      <x:c r="L775" s="9" t="str">
        <x:v>No</x:v>
      </x:c>
      <x:c r="M775" s="9" t="str">
        <x:v>Laserdisc adventure</x:v>
      </x:c>
      <x:c r="N775" s="9" t="str">
        <x:v>Animated</x:v>
      </x:c>
      <x:c r="O775" s="9" t="n">
        <x:v>10</x:v>
      </x:c>
      <x:c r="P775" s="9" t="str">
        <x:v>Laserdisc port</x:v>
      </x:c>
      <x:c r="Q775" s="9" t="str">
        <x:v>Released</x:v>
      </x:c>
      <x:c r="R775" s="9" t="str">
        <x:v>Arcade laserdisc game (Thayer's Quest, 1984)</x:v>
      </x:c>
      <x:c r="S775" s="9" t="str">
        <x:v>Windows, 3DO, CD-i</x:v>
      </x:c>
      <x:c r="T775" s="9" t="str">
        <x:v>—</x:v>
      </x:c>
      <x:c r="U775" s="9" t="n">
        <x:v>1</x:v>
      </x:c>
      <x:c r="V775" s="9" t="str">
        <x:v>Yes</x:v>
      </x:c>
      <x:c r="W775" s="9" t="str">
        <x:v>Mouse</x:v>
      </x:c>
      <x:c r="X775" s="9" t="str">
        <x:v>Low</x:v>
      </x:c>
      <x:c r="Y775" s="9" t="str"/>
      <x:c r="Z775" s="9" t="str">
        <x:v>1–2 hr</x:v>
      </x:c>
      <x:c r="AA775" s="9" t="str">
        <x:v>Rick Dyer's Thayer's Quest laserdisc reborn with new voices and puzzles.</x:v>
      </x:c>
      <x:c r="AB775" s="9" t="str">
        <x:v>None known</x:v>
      </x:c>
      <x:c r="AC775" s="9" t="str">
        <x:v>Full-screen animated laserdisc video (verify Mac resolution)</x:v>
      </x:c>
      <x:c r="AD775" s="9" t="str">
        <x:v>Trial and error</x:v>
      </x:c>
      <x:c r="AE775" s="9" t="str">
        <x:v>Single ending</x:v>
      </x:c>
      <x:c r="AF775" s="9" t="str">
        <x:v>Thayer's Quest was made for RDI's unreleased Halcyon home laserdisc console.</x:v>
      </x:c>
      <x:c r="AG775" s="9" t="str">
        <x:v>hybrid Mac/PC disc (verify)</x:v>
      </x:c>
      <x:c r="AH775" s="9" t="str">
        <x:v>Yes (Epic Games Store, PC; ScummVM support (verify))</x:v>
      </x:c>
      <x:c r="AI775" s="9" t="str">
        <x:v>Easy</x:v>
      </x:c>
      <x:c r="AJ775" s="9" t="str">
        <x:v>Mac CD in SheepShaver; Digital Leisure's PC version sells on the Epic Games Store.</x:v>
      </x:c>
      <x:c r="AK775" s="9" t="str">
        <x:v>Mac version indicated by a cited review title on Wikipedia.</x:v>
      </x:c>
      <x:c r="AL775" s="10"/>
      <x:c r="AM775" s="10"/>
      <x:c r="AN775" s="10"/>
      <x:c r="AO775" s="9"/>
      <x:c r="AP775" s="11" t="str">
        <x:f>HYPERLINK("https://www.pricecharting.com/search-products?q=Kingdom%3A+The+Far+Reaches+macintosh&amp;type=prices","PriceCharting")</x:f>
        <x:v>PriceCharting</x:v>
      </x:c>
      <x:c r="AQ775" s="9"/>
      <x:c r="AR775" s="9"/>
      <x:c r="AS775" s="9"/>
      <x:c r="AT775" s="9"/>
      <x:c r="AU775" s="9" t="str">
        <x:v>No market</x:v>
      </x:c>
      <x:c r="AV775" s="9" t="str">
        <x:v>Not listed on PriceCharting, whose Macintosh console has only about 110 items (searched 2026-10-25). The PC version is on Steam ($9.99).</x:v>
      </x:c>
      <x:c r="AW775" s="9"/>
      <x:c r="AX775" s="9"/>
      <x:c r="AY775" s="9"/>
      <x:c r="AZ775" s="9"/>
      <x:c r="BA775" s="11" t="str">
        <x:f>HYPERLINK("https://www.mobygames.com/game/4788","MobyGames")</x:f>
        <x:v>MobyGames</x:v>
      </x:c>
      <x:c r="BB775" s="9" t="str">
        <x:v>80%</x:v>
      </x:c>
      <x:c r="BC775" s="9" t="str">
        <x:v>average of 1 review on Wikipedia (Allgame)</x:v>
      </x:c>
      <x:c r="BD775" s="9" t="str">
        <x:f>HYPERLINK("https://en.wikipedia.org/wiki/Thayer%27s_Quest","Source")</x:f>
        <x:v>Source</x:v>
      </x:c>
      <x:c r="BE775" s="11" t="str">
        <x:f>HYPERLINK("https://en.wikipedia.org/wiki/Kingdom:_The_Far_Reaches","Wikipedia")</x:f>
        <x:v>Wikipedia</x:v>
      </x:c>
      <x:c r="BF775" s="11" t="str">
        <x:f>HYPERLINK("https://backloggd.com/search/games/Kingdom%3A%20The%20Far%20Reaches/","Backloggd")</x:f>
        <x:v>Backloggd</x:v>
      </x:c>
      <x:c r="BG775" s="9"/>
      <x:c r="BH775" s="9"/>
      <x:c r="BI775" s="12" t="str">
        <x:v>No</x:v>
      </x:c>
      <x:c r="BJ775" s="12" t="str"/>
      <x:c r="BK775" s="12" t="str">
        <x:v>No</x:v>
      </x:c>
      <x:c r="BL775" s="12" t="str"/>
      <x:c r="BM775" s="12" t="str"/>
      <x:c r="BN775" s="12" t="str"/>
      <x:c r="BO775" s="12" t="str"/>
      <x:c r="BP775" s="12" t="str"/>
      <x:c r="BQ775" s="12" t="str"/>
    </x:row>
    <x:row r="776">
      <x:c r="A776" s="9" t="str">
        <x:v>mac-70</x:v>
      </x:c>
      <x:c r="B776" s="9" t="str">
        <x:v>congo-the-movie-descent-into-zinj</x:v>
      </x:c>
      <x:c r="C776" s="9" t="str">
        <x:v>Macintosh</x:v>
      </x:c>
      <x:c r="D776" s="9" t="str">
        <x:v>Congo the Movie: Descent into Zinj</x:v>
      </x:c>
      <x:c r="E776" s="9" t="str">
        <x:v>Congo: Descent into Zinj</x:v>
      </x:c>
      <x:c r="F776" s="9" t="str">
        <x:v>Viacom New Media</x:v>
      </x:c>
      <x:c r="G776" s="9" t="str">
        <x:v>Viacom New Media</x:v>
      </x:c>
      <x:c r="H776" s="9" t="n">
        <x:v>1995</x:v>
      </x:c>
      <x:c r="I776" s="9" t="str">
        <x:v>Yes</x:v>
      </x:c>
      <x:c r="J776" s="9" t="str">
        <x:v>No</x:v>
      </x:c>
      <x:c r="K776" s="9" t="str">
        <x:v>No</x:v>
      </x:c>
      <x:c r="L776" s="9" t="str">
        <x:v>No</x:v>
      </x:c>
      <x:c r="M776" s="9" t="str">
        <x:v>First-person adventure</x:v>
      </x:c>
      <x:c r="N776" s="9" t="str">
        <x:v>Live-action + pre-rendered CG</x:v>
      </x:c>
      <x:c r="O776" s="9" t="n">
        <x:v>4</x:v>
      </x:c>
      <x:c r="P776" s="9" t="str">
        <x:v>FMV adventure</x:v>
      </x:c>
      <x:c r="Q776" s="9" t="str">
        <x:v>Released</x:v>
      </x:c>
      <x:c r="R776" s="9" t="str">
        <x:v>Film license (Congo, 1995)</x:v>
      </x:c>
      <x:c r="S776" s="9" t="str">
        <x:v>Windows</x:v>
      </x:c>
      <x:c r="T776" s="9" t="str">
        <x:v>—</x:v>
      </x:c>
      <x:c r="U776" s="9" t="n">
        <x:v>1</x:v>
      </x:c>
      <x:c r="V776" s="9" t="str">
        <x:v>Yes</x:v>
      </x:c>
      <x:c r="W776" s="9" t="str">
        <x:v>Mouse</x:v>
      </x:c>
      <x:c r="X776" s="9" t="str">
        <x:v>Med</x:v>
      </x:c>
      <x:c r="Y776" s="9" t="str">
        <x:v>Congo film trailer and Paramount-licensed footage/music</x:v>
      </x:c>
      <x:c r="Z776" s="9" t="str">
        <x:v>Unknown — verify</x:v>
      </x:c>
      <x:c r="AA776" s="9" t="str">
        <x:v>Paramount's Congo tie-in: hunt for a diamond in pre-rendered jungle ruins and find Karen Ross's lost expedition.</x:v>
      </x:c>
      <x:c r="AB776" s="9" t="str">
        <x:v>None known</x:v>
      </x:c>
      <x:c r="AC776" s="9" t="str">
        <x:v>Pre-rendered CG navigation; includes the film's trailer (verify)</x:v>
      </x:c>
      <x:c r="AD776" s="9" t="str">
        <x:v>Unknown — verify</x:v>
      </x:c>
      <x:c r="AE776" s="9" t="str">
        <x:v>Unknown — verify</x:v>
      </x:c>
      <x:c r="AF776" s="9" t="str">
        <x:v>Unrelated to Sega's Saturn shooter Congo the Movie: The Lost City of Zinj.</x:v>
      </x:c>
      <x:c r="AG776" s="9" t="str">
        <x:v>hybrid Mac/PC disc (verify)</x:v>
      </x:c>
      <x:c r="AH776" s="9" t="str">
        <x:v>No</x:v>
      </x:c>
      <x:c r="AI776" s="9" t="str">
        <x:v>Easy</x:v>
      </x:c>
      <x:c r="AJ776" s="9" t="str">
        <x:v>Original Mac CD in SheepShaver/Basilisk II or on a 1990s Mac.</x:v>
      </x:c>
      <x:c r="AK776" s="9" t="str">
        <x:v>Mac requires 68040+, QuickTime 2.0, 2x CD-ROM per Macintosh Repository. Live-action content unconfirmed (verify).</x:v>
      </x:c>
      <x:c r="AL776" s="10"/>
      <x:c r="AM776" s="10"/>
      <x:c r="AN776" s="10"/>
      <x:c r="AO776" s="9"/>
      <x:c r="AP776" s="11" t="str">
        <x:f>HYPERLINK("https://www.pricecharting.com/game/macintosh/congo-the-movie-descent-into-zinj","PriceCharting")</x:f>
        <x:v>PriceCharting</x:v>
      </x:c>
      <x:c r="AQ776" s="9"/>
      <x:c r="AR776" s="9"/>
      <x:c r="AS776" s="9"/>
      <x:c r="AT776" s="9"/>
      <x:c r="AU776" s="9" t="str">
        <x:v>No market</x:v>
      </x:c>
      <x:c r="AV776" s="9" t="str">
        <x:v>Not listed on PriceCharting, whose Macintosh console has only about 110 items (searched 2026-10-25).</x:v>
      </x:c>
      <x:c r="AW776" s="9"/>
      <x:c r="AX776" s="9"/>
      <x:c r="AY776" s="9"/>
      <x:c r="AZ776" s="9" t="str">
        <x:v>3.5</x:v>
      </x:c>
      <x:c r="BA776" s="11" t="str">
        <x:f>HYPERLINK("https://www.mobygames.com/search/?q=Congo+the+Movie%3A+Descent+into+Zinj","MobyGames")</x:f>
        <x:v>MobyGames</x:v>
      </x:c>
      <x:c r="BB776" s="9"/>
      <x:c r="BC776" s="9"/>
      <x:c r="BD776" s="9"/>
      <x:c r="BE776" s="11" t="str">
        <x:f>HYPERLINK("https://en.wikipedia.org/wiki/Congo:_Descent_Into_Zinj","Wikipedia")</x:f>
        <x:v>Wikipedia</x:v>
      </x:c>
      <x:c r="BF776" s="11" t="str">
        <x:f>HYPERLINK("https://backloggd.com/search/games/Congo%20the%20Movie%3A%20Descent%20into%20Zinj/","Backloggd")</x:f>
        <x:v>Backloggd</x:v>
      </x:c>
      <x:c r="BG776" s="9"/>
      <x:c r="BH776" s="9"/>
      <x:c r="BI776" s="12" t="str">
        <x:v>No</x:v>
      </x:c>
      <x:c r="BJ776" s="12" t="str"/>
      <x:c r="BK776" s="12" t="str">
        <x:v>No</x:v>
      </x:c>
      <x:c r="BL776" s="12" t="str"/>
      <x:c r="BM776" s="12" t="str"/>
      <x:c r="BN776" s="12" t="str"/>
      <x:c r="BO776" s="12" t="str"/>
      <x:c r="BP776" s="12" t="str"/>
      <x:c r="BQ776" s="12" t="str"/>
    </x:row>
    <x:row r="777">
      <x:c r="A777" s="9" t="str">
        <x:v>mac-71</x:v>
      </x:c>
      <x:c r="B777" s="9" t="str">
        <x:v>the-lawnmower-man</x:v>
      </x:c>
      <x:c r="C777" s="9" t="str">
        <x:v>Macintosh</x:v>
      </x:c>
      <x:c r="D777" s="9" t="str">
        <x:v>The Lawnmower Man</x:v>
      </x:c>
      <x:c r="E777" s="9" t="str"/>
      <x:c r="F777" s="9" t="str">
        <x:v>The Sales Curve</x:v>
      </x:c>
      <x:c r="G777" s="9" t="str">
        <x:v>Unknown — verify</x:v>
      </x:c>
      <x:c r="H777" s="9" t="n">
        <x:v>1995</x:v>
      </x:c>
      <x:c r="I777" s="9" t="str">
        <x:v>Yes</x:v>
      </x:c>
      <x:c r="J777" s="9" t="str">
        <x:v>No</x:v>
      </x:c>
      <x:c r="K777" s="9" t="str">
        <x:v>No</x:v>
      </x:c>
      <x:c r="L777" s="9" t="str">
        <x:v>No</x:v>
      </x:c>
      <x:c r="M777" s="9" t="str">
        <x:v>Interactive movie / mini-games</x:v>
      </x:c>
      <x:c r="N777" s="9" t="str">
        <x:v>Pre-rendered CG</x:v>
      </x:c>
      <x:c r="O777" s="9" t="n">
        <x:v>8</x:v>
      </x:c>
      <x:c r="P777" s="9" t="str">
        <x:v>Pre-rendered CG</x:v>
      </x:c>
      <x:c r="Q777" s="9" t="str">
        <x:v>Released</x:v>
      </x:c>
      <x:c r="R777" s="9" t="str">
        <x:v>Film license (The Lawnmower Man, 1992)</x:v>
      </x:c>
      <x:c r="S777" s="9" t="str">
        <x:v>MS-DOS, Sega CD, SNES, Genesis, Game Boy</x:v>
      </x:c>
      <x:c r="T777" s="9" t="str">
        <x:v>—</x:v>
      </x:c>
      <x:c r="U777" s="9" t="n">
        <x:v>1</x:v>
      </x:c>
      <x:c r="V777" s="9" t="str">
        <x:v>Yes</x:v>
      </x:c>
      <x:c r="W777" s="9" t="str">
        <x:v>Mouse</x:v>
      </x:c>
      <x:c r="X777" s="9" t="str">
        <x:v>Low–Med</x:v>
      </x:c>
      <x:c r="Y777" s="9" t="str">
        <x:v>Film license</x:v>
      </x:c>
      <x:c r="Z777" s="9" t="str">
        <x:v>1 hr</x:v>
      </x:c>
      <x:c r="AA777" s="9" t="str">
        <x:v>Virtual-reality mini-games and CG tunnel flights straight out of the 1992 film.</x:v>
      </x:c>
      <x:c r="AB777" s="9" t="str">
        <x:v>None known</x:v>
      </x:c>
      <x:c r="AC777" s="9" t="str">
        <x:v>Pre-rendered CG sequences (verify size)</x:v>
      </x:c>
      <x:c r="AD777" s="9" t="str">
        <x:v>Hard; quick-time chases</x:v>
      </x:c>
      <x:c r="AE777" s="9" t="str">
        <x:v>Single ending</x:v>
      </x:c>
      <x:c r="AF777" s="9" t="str">
        <x:v>Computer Gaming World named it the 42nd-worst computer game ever in 1996.</x:v>
      </x:c>
      <x:c r="AG777" s="9" t="str"/>
      <x:c r="AH777" s="9" t="str">
        <x:v>No</x:v>
      </x:c>
      <x:c r="AI777" s="9" t="str">
        <x:v>Easy</x:v>
      </x:c>
      <x:c r="AJ777" s="9" t="str">
        <x:v>Original Mac CD in SheepShaver/Basilisk II or on a 1990s Mac.</x:v>
      </x:c>
      <x:c r="AK777" s="9" t="str">
        <x:v>Mac NA release 5 May 1995 per Wikipedia; 68K, runs in Basilisk II per Macintosh Repository. Mac publisher not confirmed.</x:v>
      </x:c>
      <x:c r="AL777" s="10"/>
      <x:c r="AM777" s="10" t="n">
        <x:v>16.11</x:v>
      </x:c>
      <x:c r="AN777" s="10" t="n">
        <x:v>32.21</x:v>
      </x:c>
      <x:c r="AO777" s="9" t="str">
        <x:v>2026-10-24</x:v>
      </x:c>
      <x:c r="AP777" s="11" t="str">
        <x:f>HYPERLINK("https://www.pricecharting.com/game/macintosh/lawnmower-man","PriceCharting")</x:f>
        <x:v>PriceCharting</x:v>
      </x:c>
      <x:c r="AQ777" s="9"/>
      <x:c r="AR777" s="9"/>
      <x:c r="AS777" s="9"/>
      <x:c r="AT777" s="9"/>
      <x:c r="AU777" s="9"/>
      <x:c r="AV777" s="9"/>
      <x:c r="AW777" s="9"/>
      <x:c r="AX777" s="9"/>
      <x:c r="AY777" s="9"/>
      <x:c r="AZ777" s="9"/>
      <x:c r="BA777" s="11" t="str">
        <x:f>HYPERLINK("https://www.mobygames.com/search/?q=The+Lawnmower+Man","MobyGames")</x:f>
        <x:v>MobyGames</x:v>
      </x:c>
      <x:c r="BB777" s="9"/>
      <x:c r="BC777" s="9"/>
      <x:c r="BD777" s="9"/>
      <x:c r="BE777" s="11" t="str">
        <x:f>HYPERLINK("https://en.wikipedia.org/wiki/The_Lawnmower_Man_(video_game)","Wikipedia")</x:f>
        <x:v>Wikipedia</x:v>
      </x:c>
      <x:c r="BF777" s="11" t="str">
        <x:f>HYPERLINK("https://backloggd.com/search/games/The%20Lawnmower%20Man/","Backloggd")</x:f>
        <x:v>Backloggd</x:v>
      </x:c>
      <x:c r="BG777" s="9"/>
      <x:c r="BH777" s="9"/>
      <x:c r="BI777" s="12" t="str">
        <x:v>No</x:v>
      </x:c>
      <x:c r="BJ777" s="12" t="str"/>
      <x:c r="BK777" s="12" t="str">
        <x:v>No</x:v>
      </x:c>
      <x:c r="BL777" s="12" t="str"/>
      <x:c r="BM777" s="12" t="str"/>
      <x:c r="BN777" s="12" t="str"/>
      <x:c r="BO777" s="12" t="str"/>
      <x:c r="BP777" s="12" t="str"/>
      <x:c r="BQ777" s="12" t="str"/>
    </x:row>
    <x:row r="778">
      <x:c r="A778" s="9" t="str">
        <x:v>mac-72</x:v>
      </x:c>
      <x:c r="B778" s="9" t="str">
        <x:v>under-a-killing-moon</x:v>
      </x:c>
      <x:c r="C778" s="9" t="str">
        <x:v>Macintosh</x:v>
      </x:c>
      <x:c r="D778" s="9" t="str">
        <x:v>Under a Killing Moon</x:v>
      </x:c>
      <x:c r="E778" s="9" t="str">
        <x:v>Tex Murphy: Under a Killing Moon</x:v>
      </x:c>
      <x:c r="F778" s="9" t="str">
        <x:v>Access Software</x:v>
      </x:c>
      <x:c r="G778" s="9" t="str">
        <x:v>Access Software</x:v>
      </x:c>
      <x:c r="H778" s="9" t="n">
        <x:v>1995</x:v>
      </x:c>
      <x:c r="I778" s="9" t="str">
        <x:v>Yes</x:v>
      </x:c>
      <x:c r="J778" s="9" t="str">
        <x:v>No</x:v>
      </x:c>
      <x:c r="K778" s="9" t="str">
        <x:v>No</x:v>
      </x:c>
      <x:c r="L778" s="9" t="str">
        <x:v>No</x:v>
      </x:c>
      <x:c r="M778" s="9" t="str">
        <x:v>FMV adventure</x:v>
      </x:c>
      <x:c r="N778" s="9" t="str">
        <x:v>Live-action + CG</x:v>
      </x:c>
      <x:c r="O778" s="9" t="n">
        <x:v>6</x:v>
      </x:c>
      <x:c r="P778" s="9" t="str">
        <x:v>FMV adventure</x:v>
      </x:c>
      <x:c r="Q778" s="9" t="str">
        <x:v>Released</x:v>
      </x:c>
      <x:c r="R778" s="9" t="str">
        <x:v>PC original (1994)</x:v>
      </x:c>
      <x:c r="S778" s="9" t="str">
        <x:v>MS-DOS</x:v>
      </x:c>
      <x:c r="T778" s="9" t="str">
        <x:v>Chris Jones (Tex Murphy), Brian Keith, Margot Kidder, Russell Means, James Earl Jones (narrator)</x:v>
      </x:c>
      <x:c r="U778" s="9" t="n">
        <x:v>4</x:v>
      </x:c>
      <x:c r="V778" s="9" t="str">
        <x:v>Yes</x:v>
      </x:c>
      <x:c r="W778" s="9" t="str">
        <x:v>Mouse</x:v>
      </x:c>
      <x:c r="X778" s="9" t="str">
        <x:v>Low</x:v>
      </x:c>
      <x:c r="Y778" s="9" t="str"/>
      <x:c r="Z778" s="9" t="str">
        <x:v>15–20 hr</x:v>
      </x:c>
      <x:c r="AA778" s="9" t="str">
        <x:v>Tex Murphy's noir future San Francisco, with a Hollywood cast and free-roaming 3D sets.</x:v>
      </x:c>
      <x:c r="AB778" s="9" t="str">
        <x:v>None known</x:v>
      </x:c>
      <x:c r="AC778" s="9" t="str">
        <x:v>Live-action cutscenes and conversations, about 320x200 (verify)</x:v>
      </x:c>
      <x:c r="AD778" s="9" t="str">
        <x:v>Moderate; some obscure puzzles</x:v>
      </x:c>
      <x:c r="AE778" s="9" t="str">
        <x:v>Single ending (verify)</x:v>
      </x:c>
      <x:c r="AF778" s="9" t="str">
        <x:v>Four CD-ROMs, with some material duplicated across discs to cut down disc swapping.</x:v>
      </x:c>
      <x:c r="AG778" s="9" t="str"/>
      <x:c r="AH778" s="9" t="str">
        <x:v>Yes (GOG, Steam; PC)</x:v>
      </x:c>
      <x:c r="AI778" s="9" t="str">
        <x:v>Easy</x:v>
      </x:c>
      <x:c r="AJ778" s="9" t="str">
        <x:v>Mac CDs in SheepShaver/Basilisk II; GOG and Steam sell the PC version.</x:v>
      </x:c>
      <x:c r="AK778" s="9" t="str">
        <x:v>Mac NA release 1995 per Wikipedia.</x:v>
      </x:c>
      <x:c r="AL778" s="10"/>
      <x:c r="AM778" s="10"/>
      <x:c r="AN778" s="10"/>
      <x:c r="AO778" s="9"/>
      <x:c r="AP778" s="11" t="str">
        <x:f>HYPERLINK("https://www.pricecharting.com/search-products?q=Under+a+Killing+Moon+macintosh&amp;type=prices","PriceCharting")</x:f>
        <x:v>PriceCharting</x:v>
      </x:c>
      <x:c r="AQ778" s="9"/>
      <x:c r="AR778" s="9"/>
      <x:c r="AS778" s="9"/>
      <x:c r="AT778" s="9"/>
      <x:c r="AU778" s="9" t="str">
        <x:v>No market</x:v>
      </x:c>
      <x:c r="AV778" s="9" t="str">
        <x:v>Not listed on PriceCharting, whose Macintosh console has only about 110 items (searched 2026-10-25). The PC version is on GOG ($4.99).</x:v>
      </x:c>
      <x:c r="AW778" s="9"/>
      <x:c r="AX778" s="9"/>
      <x:c r="AY778" s="9" t="str">
        <x:v>77%</x:v>
      </x:c>
      <x:c r="AZ778" s="9"/>
      <x:c r="BA778" s="11" t="str">
        <x:f>HYPERLINK("https://www.mobygames.com/search/?q=Under+a+Killing+Moon","MobyGames")</x:f>
        <x:v>MobyGames</x:v>
      </x:c>
      <x:c r="BB778" s="9"/>
      <x:c r="BC778" s="9"/>
      <x:c r="BD778" s="9"/>
      <x:c r="BE778" s="11" t="str">
        <x:f>HYPERLINK("https://en.wikipedia.org/wiki/Under_a_Killing_Moon","Wikipedia")</x:f>
        <x:v>Wikipedia</x:v>
      </x:c>
      <x:c r="BF778" s="11" t="str">
        <x:f>HYPERLINK("https://backloggd.com/search/games/Under%20a%20Killing%20Moon/","Backloggd")</x:f>
        <x:v>Backloggd</x:v>
      </x:c>
      <x:c r="BG778" s="9"/>
      <x:c r="BH778" s="9"/>
      <x:c r="BI778" s="12" t="str">
        <x:v>No</x:v>
      </x:c>
      <x:c r="BJ778" s="12" t="str"/>
      <x:c r="BK778" s="12" t="str">
        <x:v>No</x:v>
      </x:c>
      <x:c r="BL778" s="12" t="str"/>
      <x:c r="BM778" s="12" t="str"/>
      <x:c r="BN778" s="12" t="str"/>
      <x:c r="BO778" s="12" t="str"/>
      <x:c r="BP778" s="12" t="str"/>
      <x:c r="BQ778" s="12" t="str"/>
    </x:row>
    <x:row r="779">
      <x:c r="A779" s="9" t="str">
        <x:v>mac-73</x:v>
      </x:c>
      <x:c r="B779" s="9" t="str">
        <x:v>ripper</x:v>
      </x:c>
      <x:c r="C779" s="9" t="str">
        <x:v>Macintosh</x:v>
      </x:c>
      <x:c r="D779" s="9" t="str">
        <x:v>Ripper</x:v>
      </x:c>
      <x:c r="E779" s="9" t="str"/>
      <x:c r="F779" s="9" t="str">
        <x:v>Take-Two Interactive</x:v>
      </x:c>
      <x:c r="G779" s="9" t="str">
        <x:v>Take-Two Interactive</x:v>
      </x:c>
      <x:c r="H779" s="9" t="n">
        <x:v>1996</x:v>
      </x:c>
      <x:c r="I779" s="9" t="str">
        <x:v>Yes</x:v>
      </x:c>
      <x:c r="J779" s="9" t="str">
        <x:v>No</x:v>
      </x:c>
      <x:c r="K779" s="9" t="str">
        <x:v>Yes</x:v>
      </x:c>
      <x:c r="L779" s="9" t="str">
        <x:v>No</x:v>
      </x:c>
      <x:c r="M779" s="9" t="str">
        <x:v>FMV adventure</x:v>
      </x:c>
      <x:c r="N779" s="9" t="str">
        <x:v>Live-action + CG</x:v>
      </x:c>
      <x:c r="O779" s="9" t="n">
        <x:v>7</x:v>
      </x:c>
      <x:c r="P779" s="9" t="str">
        <x:v>Interactive movie</x:v>
      </x:c>
      <x:c r="Q779" s="9" t="str">
        <x:v>Released</x:v>
      </x:c>
      <x:c r="R779" s="9" t="str">
        <x:v>Original production</x:v>
      </x:c>
      <x:c r="S779" s="9" t="str">
        <x:v>MS-DOS</x:v>
      </x:c>
      <x:c r="T779" s="9" t="str">
        <x:v>Christopher Walken, Scott Cohen, Karen Allen, Burgess Meredith, John Rhys-Davies, Paul Giamatti, Ossie Davis, David Patrick Kelly, Jimmie Walker</x:v>
      </x:c>
      <x:c r="U779" s="9" t="n">
        <x:v>6</x:v>
      </x:c>
      <x:c r="V779" s="9" t="str">
        <x:v>Yes</x:v>
      </x:c>
      <x:c r="W779" s="9" t="str">
        <x:v>Mouse</x:v>
      </x:c>
      <x:c r="X779" s="9" t="str">
        <x:v>Low</x:v>
      </x:c>
      <x:c r="Y779" s="9" t="str"/>
      <x:c r="Z779" s="9" t="str">
        <x:v>10–15 hr</x:v>
      </x:c>
      <x:c r="AA779" s="9" t="str">
        <x:v>Christopher Walken hunts a cyberpunk Jack the Ripper in 2040 New York.</x:v>
      </x:c>
      <x:c r="AB779" s="9" t="str">
        <x:v>None known</x:v>
      </x:c>
      <x:c r="AC779" s="9" t="str">
        <x:v>Live-action video in a window (verify)</x:v>
      </x:c>
      <x:c r="AD779" s="9" t="str">
        <x:v>Hard; some puzzles are notorious</x:v>
      </x:c>
      <x:c r="AE779" s="9" t="str">
        <x:v>Killer chosen at random from four suspects at the start (verify)</x:v>
      </x:c>
      <x:c r="AF779" s="9" t="str">
        <x:v>Saturn and PlayStation ports were announced in 1996 but never released.</x:v>
      </x:c>
      <x:c r="AG779" s="9" t="str"/>
      <x:c r="AH779" s="9" t="str">
        <x:v>No (no verified official digital re-release; original secondhand discs)</x:v>
      </x:c>
      <x:c r="AI779" s="9" t="str">
        <x:v>Easy</x:v>
      </x:c>
      <x:c r="AJ779" s="9" t="str">
        <x:v>Original discs bought secondhand; use an appropriate period PC/Mac or compatible emulator. No verified Steam/GOG purchase listing.</x:v>
      </x:c>
      <x:c r="AK779" s="9" t="str">
        <x:v>Wikipedia lists a Macintosh version with no separate date (verify year).</x:v>
      </x:c>
      <x:c r="AL779" s="10"/>
      <x:c r="AM779" s="10"/>
      <x:c r="AN779" s="10"/>
      <x:c r="AO779" s="9"/>
      <x:c r="AP779" s="11" t="str">
        <x:f>HYPERLINK("https://www.pricecharting.com/search-products?q=Ripper+macintosh&amp;type=prices","PriceCharting")</x:f>
        <x:v>PriceCharting</x:v>
      </x:c>
      <x:c r="AQ779" s="9"/>
      <x:c r="AR779" s="9"/>
      <x:c r="AS779" s="9"/>
      <x:c r="AT779" s="9"/>
      <x:c r="AU779" s="9" t="str">
        <x:v>No market</x:v>
      </x:c>
      <x:c r="AV779" s="9" t="str">
        <x:v>Not listed on PriceCharting, whose Macintosh console has only about 110 items (searched 2026-10-25).</x:v>
      </x:c>
      <x:c r="AW779" s="9"/>
      <x:c r="AX779" s="9"/>
      <x:c r="AY779" s="9"/>
      <x:c r="AZ779" s="9" t="str">
        <x:v>3.0</x:v>
      </x:c>
      <x:c r="BA779" s="11" t="str">
        <x:f>HYPERLINK("https://www.mobygames.com/search/?q=Ripper","MobyGames")</x:f>
        <x:v>MobyGames</x:v>
      </x:c>
      <x:c r="BB779" s="9"/>
      <x:c r="BC779" s="9"/>
      <x:c r="BD779" s="9"/>
      <x:c r="BE779" s="11" t="str">
        <x:f>HYPERLINK("https://en.wikipedia.org/wiki/Ripper_(video_game)","Wikipedia")</x:f>
        <x:v>Wikipedia</x:v>
      </x:c>
      <x:c r="BF779" s="11" t="str">
        <x:f>HYPERLINK("https://backloggd.com/search/games/Ripper/","Backloggd")</x:f>
        <x:v>Backloggd</x:v>
      </x:c>
      <x:c r="BG779" s="9"/>
      <x:c r="BH779" s="9"/>
      <x:c r="BI779" s="12" t="str">
        <x:v>No</x:v>
      </x:c>
      <x:c r="BJ779" s="12" t="str"/>
      <x:c r="BK779" s="12" t="str">
        <x:v>No</x:v>
      </x:c>
      <x:c r="BL779" s="12" t="str"/>
      <x:c r="BM779" s="12" t="str"/>
      <x:c r="BN779" s="12" t="str"/>
      <x:c r="BO779" s="12" t="str"/>
      <x:c r="BP779" s="12" t="str"/>
      <x:c r="BQ779" s="12" t="str"/>
    </x:row>
    <x:row r="780">
      <x:c r="A780" s="9" t="str">
        <x:v>mac-74</x:v>
      </x:c>
      <x:c r="B780" s="9" t="str">
        <x:v>the-dame-was-loaded</x:v>
      </x:c>
      <x:c r="C780" s="9" t="str">
        <x:v>Macintosh</x:v>
      </x:c>
      <x:c r="D780" s="9" t="str">
        <x:v>The Dame Was Loaded</x:v>
      </x:c>
      <x:c r="E780" s="9" t="str"/>
      <x:c r="F780" s="9" t="str">
        <x:v>Beam Software</x:v>
      </x:c>
      <x:c r="G780" s="9" t="str">
        <x:v>Philips Media</x:v>
      </x:c>
      <x:c r="H780" s="9" t="n">
        <x:v>1996</x:v>
      </x:c>
      <x:c r="I780" s="9" t="str">
        <x:v>Yes</x:v>
      </x:c>
      <x:c r="J780" s="9" t="str">
        <x:v>No</x:v>
      </x:c>
      <x:c r="K780" s="9" t="str">
        <x:v>Yes</x:v>
      </x:c>
      <x:c r="L780" s="9" t="str">
        <x:v>No</x:v>
      </x:c>
      <x:c r="M780" s="9" t="str">
        <x:v>Film-noir detective adventure</x:v>
      </x:c>
      <x:c r="N780" s="9" t="str">
        <x:v>Live-action</x:v>
      </x:c>
      <x:c r="O780" s="9" t="n">
        <x:v>7</x:v>
      </x:c>
      <x:c r="P780" s="9" t="str">
        <x:v>FMV adventure</x:v>
      </x:c>
      <x:c r="Q780" s="9" t="str">
        <x:v>Released</x:v>
      </x:c>
      <x:c r="R780" s="9" t="str">
        <x:v>PC original</x:v>
      </x:c>
      <x:c r="S780" s="9" t="str">
        <x:v>DOS, Windows</x:v>
      </x:c>
      <x:c r="T780" s="9" t="str">
        <x:v>Unknown — verify</x:v>
      </x:c>
      <x:c r="U780" s="9" t="str">
        <x:v>Unknown — verify</x:v>
      </x:c>
      <x:c r="V780" s="9" t="str">
        <x:v>Yes</x:v>
      </x:c>
      <x:c r="W780" s="9" t="str">
        <x:v>Mouse</x:v>
      </x:c>
      <x:c r="X780" s="9" t="str">
        <x:v>Low</x:v>
      </x:c>
      <x:c r="Y780" s="9" t="str"/>
      <x:c r="Z780" s="9" t="str">
        <x:v>6–10 hr</x:v>
      </x:c>
      <x:c r="AA780" s="9" t="str">
        <x:v>A full-motion 1940s noir: you play private eye Scott Anger through a branching live-action murder case.</x:v>
      </x:c>
      <x:c r="AB780" s="9" t="str">
        <x:v>None known</x:v>
      </x:c>
      <x:c r="AC780" s="9" t="str">
        <x:v>QuickTime video in a window, roughly 320x240 or smaller, ~15 fps (verify)</x:v>
      </x:c>
      <x:c r="AD780" s="9" t="str">
        <x:v>Moderate; time-limited days and dead ends</x:v>
      </x:c>
      <x:c r="AE780" s="9" t="str">
        <x:v>Multiple endings depending on how the case is solved (verify)</x:v>
      </x:c>
      <x:c r="AF780" s="9" t="str">
        <x:v>Made by Australia's Beam Software (Melbourne House), better known for licensed console games.</x:v>
      </x:c>
      <x:c r="AG780" s="9" t="str">
        <x:v>Hybrid Mac/PC disc (verify)</x:v>
      </x:c>
      <x:c r="AH780" s="9" t="str">
        <x:v>Yes (GOG)</x:v>
      </x:c>
      <x:c r="AI780" s="9" t="str">
        <x:v>Easy</x:v>
      </x:c>
      <x:c r="AJ780" s="9" t="str">
        <x:v>GOG sells a modern re-release; the original Mac disc runs on a 1990s Mac or SheepShaver.</x:v>
      </x:c>
      <x:c r="AK780" s="9" t="str">
        <x:v>Mac release confirmed by Macintosh Repository listing; DOS/Windows also. Disc count unconfirmed.</x:v>
      </x:c>
      <x:c r="AL780" s="10"/>
      <x:c r="AM780" s="10"/>
      <x:c r="AN780" s="10"/>
      <x:c r="AO780" s="9"/>
      <x:c r="AP780" s="11" t="str">
        <x:f>HYPERLINK("https://www.pricecharting.com/search-products?q=The+Dame+Was+Loaded+macintosh&amp;type=prices","PriceCharting")</x:f>
        <x:v>PriceCharting</x:v>
      </x:c>
      <x:c r="AQ780" s="9"/>
      <x:c r="AR780" s="9"/>
      <x:c r="AS780" s="9"/>
      <x:c r="AT780" s="9"/>
      <x:c r="AU780" s="9" t="str">
        <x:v>No market</x:v>
      </x:c>
      <x:c r="AV780" s="9" t="str">
        <x:v>Not listed on PriceCharting, whose Macintosh console has only about 110 items (searched 2026-10-25). The PC version is on Steam ($6.99).</x:v>
      </x:c>
      <x:c r="AW780" s="9"/>
      <x:c r="AX780" s="9"/>
      <x:c r="AY780" s="9"/>
      <x:c r="AZ780" s="9"/>
      <x:c r="BA780" s="11" t="str">
        <x:f>HYPERLINK("https://www.mobygames.com/search/?q=The+Dame+Was+Loaded","MobyGames")</x:f>
        <x:v>MobyGames</x:v>
      </x:c>
      <x:c r="BB780" s="9"/>
      <x:c r="BC780" s="9"/>
      <x:c r="BD780" s="9"/>
      <x:c r="BE780" s="11" t="str">
        <x:f>HYPERLINK("https://en.wikipedia.org/wiki/The_Dame_Was_Loaded","Wikipedia")</x:f>
        <x:v>Wikipedia</x:v>
      </x:c>
      <x:c r="BF780" s="11" t="str">
        <x:f>HYPERLINK("https://backloggd.com/search/games/The%20Dame%20Was%20Loaded/","Backloggd")</x:f>
        <x:v>Backloggd</x:v>
      </x:c>
      <x:c r="BG780" s="9"/>
      <x:c r="BH780" s="9"/>
      <x:c r="BI780" s="12" t="str">
        <x:v>No</x:v>
      </x:c>
      <x:c r="BJ780" s="12" t="str"/>
      <x:c r="BK780" s="12" t="str">
        <x:v>No</x:v>
      </x:c>
      <x:c r="BL780" s="12" t="str"/>
      <x:c r="BM780" s="12" t="str"/>
      <x:c r="BN780" s="12" t="str"/>
      <x:c r="BO780" s="12" t="str"/>
      <x:c r="BP780" s="12" t="str"/>
      <x:c r="BQ780" s="12" t="str"/>
    </x:row>
    <x:row r="781">
      <x:c r="A781" s="9" t="str">
        <x:v>mac-75</x:v>
      </x:c>
      <x:c r="B781" s="9" t="str">
        <x:v>the-magic-death</x:v>
      </x:c>
      <x:c r="C781" s="9" t="str">
        <x:v>Macintosh</x:v>
      </x:c>
      <x:c r="D781" s="9" t="str">
        <x:v>The Magic Death</x:v>
      </x:c>
      <x:c r="E781" s="9" t="str">
        <x:v>The Magic Death: Virtual Murder 2</x:v>
      </x:c>
      <x:c r="F781" s="9" t="str">
        <x:v>Creative Multimedia</x:v>
      </x:c>
      <x:c r="G781" s="9" t="str">
        <x:v>Creative Multimedia</x:v>
      </x:c>
      <x:c r="H781" s="9" t="n">
        <x:v>1993</x:v>
      </x:c>
      <x:c r="I781" s="9" t="str">
        <x:v>Yes</x:v>
      </x:c>
      <x:c r="J781" s="9" t="str">
        <x:v>No</x:v>
      </x:c>
      <x:c r="K781" s="9" t="str">
        <x:v>No</x:v>
      </x:c>
      <x:c r="L781" s="9" t="str">
        <x:v>No</x:v>
      </x:c>
      <x:c r="M781" s="9" t="str">
        <x:v>Interactive murder mystery</x:v>
      </x:c>
      <x:c r="N781" s="9" t="str">
        <x:v>Live-action</x:v>
      </x:c>
      <x:c r="O781" s="9" t="n">
        <x:v>5</x:v>
      </x:c>
      <x:c r="P781" s="9" t="str">
        <x:v>Interactive movie</x:v>
      </x:c>
      <x:c r="Q781" s="9" t="str">
        <x:v>Released</x:v>
      </x:c>
      <x:c r="R781" s="9" t="str">
        <x:v>Original production (Virtual Murder series)</x:v>
      </x:c>
      <x:c r="S781" s="9" t="str">
        <x:v>DOS, Windows</x:v>
      </x:c>
      <x:c r="T781" s="9" t="str">
        <x:v>Unknown — verify</x:v>
      </x:c>
      <x:c r="U781" s="9" t="n">
        <x:v>1</x:v>
      </x:c>
      <x:c r="V781" s="9" t="str">
        <x:v>Yes</x:v>
      </x:c>
      <x:c r="W781" s="9" t="str">
        <x:v>Mouse</x:v>
      </x:c>
      <x:c r="X781" s="9" t="str">
        <x:v>Low</x:v>
      </x:c>
      <x:c r="Y781" s="9" t="str"/>
      <x:c r="Z781" s="9" t="str">
        <x:v>2–4 hr</x:v>
      </x:c>
      <x:c r="AA781" s="9" t="str">
        <x:v>A voodoo-tinged murder at Prentice Hall University, solved by interviewing filmed suspects and sending evidence to the lab.</x:v>
      </x:c>
      <x:c r="AB781" s="9" t="str">
        <x:v>None known</x:v>
      </x:c>
      <x:c r="AC781" s="9" t="str">
        <x:v>QuickTime video in a window, roughly 320x240 or smaller, ~15 fps (verify)</x:v>
      </x:c>
      <x:c r="AD781" s="9" t="str">
        <x:v>Moderate; deduction and a warrant at the end</x:v>
      </x:c>
      <x:c r="AE781" s="9" t="str">
        <x:v>Win or lose depending on accusation; culprit fixed (verify)</x:v>
      </x:c>
      <x:c r="AF781" s="9" t="str">
        <x:v>Second Virtual Murder title by Shannon Gilligan, who later created The Elk Moon Murder.</x:v>
      </x:c>
      <x:c r="AG781" s="9" t="str">
        <x:v>Hybrid Mac/PC disc (verify)</x:v>
      </x:c>
      <x:c r="AH781" s="9" t="str">
        <x:v>No</x:v>
      </x:c>
      <x:c r="AI781" s="9" t="str">
        <x:v>Easy</x:v>
      </x:c>
      <x:c r="AJ781" s="9" t="str">
        <x:v>1990s Mac or an emulator such as SheepShaver/Basilisk II.</x:v>
      </x:c>
      <x:c r="AK781" s="9" t="str">
        <x:v>Virtual Murder series (Creative Multimedia, written by Shannon Gilligan): photo-based investigation with QuickTime video interviews of suspects. Mac release confirmed by Macintosh Repository.</x:v>
      </x:c>
      <x:c r="AL781" s="10"/>
      <x:c r="AM781" s="10"/>
      <x:c r="AN781" s="10"/>
      <x:c r="AO781" s="9"/>
      <x:c r="AP781" s="11" t="str">
        <x:f>HYPERLINK("https://www.pricecharting.com/search-products?q=The+Magic+Death+macintosh&amp;type=prices","PriceCharting")</x:f>
        <x:v>PriceCharting</x:v>
      </x:c>
      <x:c r="AQ781" s="9"/>
      <x:c r="AR781" s="9"/>
      <x:c r="AS781" s="9"/>
      <x:c r="AT781" s="9"/>
      <x:c r="AU781" s="9" t="str">
        <x:v>No market</x:v>
      </x:c>
      <x:c r="AV781" s="9" t="str">
        <x:v>Not listed on PriceCharting, whose Macintosh console has only about 110 items (searched 2026-10-25).</x:v>
      </x:c>
      <x:c r="AW781" s="9"/>
      <x:c r="AX781" s="9"/>
      <x:c r="AY781" s="9"/>
      <x:c r="AZ781" s="9"/>
      <x:c r="BA781" s="11" t="str">
        <x:f>HYPERLINK("https://www.mobygames.com/search/?q=The+Magic+Death","MobyGames")</x:f>
        <x:v>MobyGames</x:v>
      </x:c>
      <x:c r="BB781" s="9"/>
      <x:c r="BC781" s="9"/>
      <x:c r="BD781" s="9"/>
      <x:c r="BE781" s="11" t="str">
        <x:f>HYPERLINK("https://en.wikipedia.org/wiki/Virtual_Murder_(video_game_series)","Wikipedia")</x:f>
        <x:v>Wikipedia</x:v>
      </x:c>
      <x:c r="BF781" s="11" t="str">
        <x:f>HYPERLINK("https://backloggd.com/search/games/The%20Magic%20Death/","Backloggd")</x:f>
        <x:v>Backloggd</x:v>
      </x:c>
      <x:c r="BG781" s="9"/>
      <x:c r="BH781" s="9"/>
      <x:c r="BI781" s="12" t="str">
        <x:v>No</x:v>
      </x:c>
      <x:c r="BJ781" s="12" t="str"/>
      <x:c r="BK781" s="12" t="str">
        <x:v>No</x:v>
      </x:c>
      <x:c r="BL781" s="12" t="str"/>
      <x:c r="BM781" s="12" t="str"/>
      <x:c r="BN781" s="12" t="str"/>
      <x:c r="BO781" s="12" t="str"/>
      <x:c r="BP781" s="12" t="str"/>
      <x:c r="BQ781" s="12" t="str"/>
    </x:row>
    <x:row r="782">
      <x:c r="A782" s="9" t="str">
        <x:v>mac-76</x:v>
      </x:c>
      <x:c r="B782" s="9" t="str">
        <x:v>who-killed-brett-penance</x:v>
      </x:c>
      <x:c r="C782" s="9" t="str">
        <x:v>Macintosh</x:v>
      </x:c>
      <x:c r="D782" s="9" t="str">
        <x:v>Who Killed Brett Penance?</x:v>
      </x:c>
      <x:c r="E782" s="9" t="str">
        <x:v>Who Killed Brett Penance? The Environmental Surfer</x:v>
      </x:c>
      <x:c r="F782" s="9" t="str">
        <x:v>Creative Multimedia</x:v>
      </x:c>
      <x:c r="G782" s="9" t="str">
        <x:v>Creative Multimedia</x:v>
      </x:c>
      <x:c r="H782" s="9" t="n">
        <x:v>1995</x:v>
      </x:c>
      <x:c r="I782" s="9" t="str">
        <x:v>Yes</x:v>
      </x:c>
      <x:c r="J782" s="9" t="str">
        <x:v>No</x:v>
      </x:c>
      <x:c r="K782" s="9" t="str">
        <x:v>No</x:v>
      </x:c>
      <x:c r="L782" s="9" t="str">
        <x:v>No</x:v>
      </x:c>
      <x:c r="M782" s="9" t="str">
        <x:v>Interactive murder mystery</x:v>
      </x:c>
      <x:c r="N782" s="9" t="str">
        <x:v>Live-action</x:v>
      </x:c>
      <x:c r="O782" s="9" t="n">
        <x:v>5</x:v>
      </x:c>
      <x:c r="P782" s="9" t="str">
        <x:v>Interactive movie</x:v>
      </x:c>
      <x:c r="Q782" s="9" t="str">
        <x:v>Released</x:v>
      </x:c>
      <x:c r="R782" s="9" t="str">
        <x:v>Original production (Virtual Murder series)</x:v>
      </x:c>
      <x:c r="S782" s="9" t="str">
        <x:v>Windows</x:v>
      </x:c>
      <x:c r="T782" s="9" t="str">
        <x:v>Unknown — verify</x:v>
      </x:c>
      <x:c r="U782" s="9" t="n">
        <x:v>1</x:v>
      </x:c>
      <x:c r="V782" s="9" t="str">
        <x:v>Yes</x:v>
      </x:c>
      <x:c r="W782" s="9" t="str">
        <x:v>Mouse</x:v>
      </x:c>
      <x:c r="X782" s="9" t="str">
        <x:v>Low</x:v>
      </x:c>
      <x:c r="Y782" s="9" t="str"/>
      <x:c r="Z782" s="9" t="str">
        <x:v>2–4 hr</x:v>
      </x:c>
      <x:c r="AA782" s="9" t="str">
        <x:v>A surfer-activist is murdered and you interview filmed suspects to find out who did it.</x:v>
      </x:c>
      <x:c r="AB782" s="9" t="str">
        <x:v>None known</x:v>
      </x:c>
      <x:c r="AC782" s="9" t="str">
        <x:v>QuickTime video in a window, roughly 320x240 or smaller, ~15 fps (verify)</x:v>
      </x:c>
      <x:c r="AD782" s="9" t="str">
        <x:v>Moderate</x:v>
      </x:c>
      <x:c r="AE782" s="9" t="str">
        <x:v>Correct or wrong accusation (verify)</x:v>
      </x:c>
      <x:c r="AF782" s="9" t="str">
        <x:v>Later entry in Creative Multimedia's Virtual Murder line.</x:v>
      </x:c>
      <x:c r="AG782" s="9" t="str">
        <x:v>Hybrid Mac/PC disc (verify)</x:v>
      </x:c>
      <x:c r="AH782" s="9" t="str">
        <x:v>No</x:v>
      </x:c>
      <x:c r="AI782" s="9" t="str">
        <x:v>Easy</x:v>
      </x:c>
      <x:c r="AJ782" s="9" t="str">
        <x:v>1990s Mac or an emulator such as SheepShaver/Basilisk II.</x:v>
      </x:c>
      <x:c r="AK782" s="9" t="str">
        <x:v>Virtual Murder series (Creative Multimedia, written by Shannon Gilligan): photo-based investigation with QuickTime video interviews of suspects. Mac release confirmed by Macintosh Repository.</x:v>
      </x:c>
      <x:c r="AL782" s="10"/>
      <x:c r="AM782" s="10"/>
      <x:c r="AN782" s="10"/>
      <x:c r="AO782" s="9"/>
      <x:c r="AP782" s="11" t="str">
        <x:f>HYPERLINK("https://www.pricecharting.com/search-products?q=Who+Killed+Brett+Penance%3F+macintosh&amp;type=prices","PriceCharting")</x:f>
        <x:v>PriceCharting</x:v>
      </x:c>
      <x:c r="AQ782" s="9"/>
      <x:c r="AR782" s="9"/>
      <x:c r="AS782" s="9"/>
      <x:c r="AT782" s="9"/>
      <x:c r="AU782" s="9" t="str">
        <x:v>No market</x:v>
      </x:c>
      <x:c r="AV782" s="9" t="str">
        <x:v>Not listed on PriceCharting, whose Macintosh console has only about 110 items (searched 2026-10-25).</x:v>
      </x:c>
      <x:c r="AW782" s="9"/>
      <x:c r="AX782" s="9"/>
      <x:c r="AY782" s="9"/>
      <x:c r="AZ782" s="9"/>
      <x:c r="BA782" s="11" t="str">
        <x:f>HYPERLINK("https://www.mobygames.com/search/?q=Who+Killed+Brett+Penance%3F","MobyGames")</x:f>
        <x:v>MobyGames</x:v>
      </x:c>
      <x:c r="BB782" s="9"/>
      <x:c r="BC782" s="9"/>
      <x:c r="BD782" s="9"/>
      <x:c r="BE782" s="11" t="str">
        <x:f>HYPERLINK("https://en.wikipedia.org/wiki/Virtual_Murder_(video_game_series)","Wikipedia")</x:f>
        <x:v>Wikipedia</x:v>
      </x:c>
      <x:c r="BF782" s="11" t="str">
        <x:f>HYPERLINK("https://backloggd.com/search/games/Who%20Killed%20Brett%20Penance%3F/","Backloggd")</x:f>
        <x:v>Backloggd</x:v>
      </x:c>
      <x:c r="BG782" s="9"/>
      <x:c r="BH782" s="9"/>
      <x:c r="BI782" s="12" t="str">
        <x:v>No</x:v>
      </x:c>
      <x:c r="BJ782" s="12" t="str"/>
      <x:c r="BK782" s="12" t="str">
        <x:v>No</x:v>
      </x:c>
      <x:c r="BL782" s="12" t="str"/>
      <x:c r="BM782" s="12" t="str"/>
      <x:c r="BN782" s="12" t="str"/>
      <x:c r="BO782" s="12" t="str"/>
      <x:c r="BP782" s="12" t="str"/>
      <x:c r="BQ782" s="12" t="str"/>
    </x:row>
    <x:row r="783">
      <x:c r="A783" s="9" t="str">
        <x:v>mac-77</x:v>
      </x:c>
      <x:c r="B783" s="9" t="str">
        <x:v>who-killed-taylor-french-the-case-of-the-undressed-reporter</x:v>
      </x:c>
      <x:c r="C783" s="9" t="str">
        <x:v>Macintosh</x:v>
      </x:c>
      <x:c r="D783" s="9" t="str">
        <x:v>Who Killed Taylor French? The Case of the Undressed Reporter</x:v>
      </x:c>
      <x:c r="E783" s="9" t="str"/>
      <x:c r="F783" s="9" t="str">
        <x:v>Creative Multimedia</x:v>
      </x:c>
      <x:c r="G783" s="9" t="str">
        <x:v>Creative Multimedia</x:v>
      </x:c>
      <x:c r="H783" s="9" t="n">
        <x:v>1994</x:v>
      </x:c>
      <x:c r="I783" s="9" t="str">
        <x:v>Yes</x:v>
      </x:c>
      <x:c r="J783" s="9" t="str">
        <x:v>No</x:v>
      </x:c>
      <x:c r="K783" s="9" t="str">
        <x:v>No</x:v>
      </x:c>
      <x:c r="L783" s="9" t="str">
        <x:v>No</x:v>
      </x:c>
      <x:c r="M783" s="9" t="str">
        <x:v>Interactive murder mystery</x:v>
      </x:c>
      <x:c r="N783" s="9" t="str">
        <x:v>Live-action</x:v>
      </x:c>
      <x:c r="O783" s="9" t="n">
        <x:v>5</x:v>
      </x:c>
      <x:c r="P783" s="9" t="str">
        <x:v>Interactive movie</x:v>
      </x:c>
      <x:c r="Q783" s="9" t="str">
        <x:v>Released</x:v>
      </x:c>
      <x:c r="R783" s="9" t="str">
        <x:v>Original production (Virtual Murder series)</x:v>
      </x:c>
      <x:c r="S783" s="9" t="str">
        <x:v>DOS, Windows</x:v>
      </x:c>
      <x:c r="T783" s="9" t="str">
        <x:v>Unknown — verify</x:v>
      </x:c>
      <x:c r="U783" s="9" t="n">
        <x:v>1</x:v>
      </x:c>
      <x:c r="V783" s="9" t="str">
        <x:v>Yes</x:v>
      </x:c>
      <x:c r="W783" s="9" t="str">
        <x:v>Mouse</x:v>
      </x:c>
      <x:c r="X783" s="9" t="str">
        <x:v>Low</x:v>
      </x:c>
      <x:c r="Y783" s="9" t="str"/>
      <x:c r="Z783" s="9" t="str">
        <x:v>2–4 hr</x:v>
      </x:c>
      <x:c r="AA783" s="9" t="str">
        <x:v>A reporter is found dead and undressed; the filmed suspect interviews are the whole show.</x:v>
      </x:c>
      <x:c r="AB783" s="9" t="str">
        <x:v>None known</x:v>
      </x:c>
      <x:c r="AC783" s="9" t="str">
        <x:v>QuickTime video in a window, roughly 320x240 or smaller, ~15 fps (verify)</x:v>
      </x:c>
      <x:c r="AD783" s="9" t="str">
        <x:v>Moderate</x:v>
      </x:c>
      <x:c r="AE783" s="9" t="str">
        <x:v>Correct or wrong accusation (verify)</x:v>
      </x:c>
      <x:c r="AF783" s="9" t="str">
        <x:v>Third Virtual Murder title (verify numbering).</x:v>
      </x:c>
      <x:c r="AG783" s="9" t="str">
        <x:v>Hybrid Mac/PC disc (verify)</x:v>
      </x:c>
      <x:c r="AH783" s="9" t="str">
        <x:v>No</x:v>
      </x:c>
      <x:c r="AI783" s="9" t="str">
        <x:v>Easy</x:v>
      </x:c>
      <x:c r="AJ783" s="9" t="str">
        <x:v>1990s Mac or an emulator such as SheepShaver/Basilisk II.</x:v>
      </x:c>
      <x:c r="AK783" s="9" t="str">
        <x:v>Virtual Murder series (Creative Multimedia, written by Shannon Gilligan): photo-based investigation with QuickTime video interviews of suspects. Mac release confirmed by Macintosh Repository.</x:v>
      </x:c>
      <x:c r="AL783" s="10"/>
      <x:c r="AM783" s="10"/>
      <x:c r="AN783" s="10"/>
      <x:c r="AO783" s="9"/>
      <x:c r="AP783" s="11" t="str">
        <x:f>HYPERLINK("https://www.pricecharting.com/search-products?q=Who+Killed+Taylor+French%3F+The+Case+of+the+Undressed+Reporter+macintosh&amp;type=prices","PriceCharting")</x:f>
        <x:v>PriceCharting</x:v>
      </x:c>
      <x:c r="AQ783" s="9"/>
      <x:c r="AR783" s="9"/>
      <x:c r="AS783" s="9"/>
      <x:c r="AT783" s="9"/>
      <x:c r="AU783" s="9" t="str">
        <x:v>No market</x:v>
      </x:c>
      <x:c r="AV783" s="9" t="str">
        <x:v>Not listed on PriceCharting, whose Macintosh console has only about 110 items (searched 2026-10-25).</x:v>
      </x:c>
      <x:c r="AW783" s="9"/>
      <x:c r="AX783" s="9"/>
      <x:c r="AY783" s="9"/>
      <x:c r="AZ783" s="9"/>
      <x:c r="BA783" s="11" t="str">
        <x:f>HYPERLINK("https://www.mobygames.com/search/?q=Who+Killed+Taylor+French%3F+The+Case+of+the+Undressed+Reporter","MobyGames")</x:f>
        <x:v>MobyGames</x:v>
      </x:c>
      <x:c r="BB783" s="9"/>
      <x:c r="BC783" s="9"/>
      <x:c r="BD783" s="9"/>
      <x:c r="BE783" s="11" t="str">
        <x:f>HYPERLINK("https://en.wikipedia.org/wiki/Virtual_Murder_(video_game_series)","Wikipedia")</x:f>
        <x:v>Wikipedia</x:v>
      </x:c>
      <x:c r="BF783" s="11" t="str">
        <x:f>HYPERLINK("https://backloggd.com/search/games/Who%20Killed%20Taylor%20French%3F%20The%20Case%20of%20the%20Undressed%20Reporter/","Backloggd")</x:f>
        <x:v>Backloggd</x:v>
      </x:c>
      <x:c r="BG783" s="9"/>
      <x:c r="BH783" s="9"/>
      <x:c r="BI783" s="12" t="str">
        <x:v>No</x:v>
      </x:c>
      <x:c r="BJ783" s="12" t="str"/>
      <x:c r="BK783" s="12" t="str">
        <x:v>No</x:v>
      </x:c>
      <x:c r="BL783" s="12" t="str"/>
      <x:c r="BM783" s="12" t="str"/>
      <x:c r="BN783" s="12" t="str"/>
      <x:c r="BO783" s="12" t="str"/>
      <x:c r="BP783" s="12" t="str"/>
      <x:c r="BQ783" s="12" t="str"/>
    </x:row>
    <x:row r="784">
      <x:c r="A784" s="9" t="str">
        <x:v>mac-78</x:v>
      </x:c>
      <x:c r="B784" s="9" t="str">
        <x:v>morpheus</x:v>
      </x:c>
      <x:c r="C784" s="9" t="str">
        <x:v>Macintosh</x:v>
      </x:c>
      <x:c r="D784" s="9" t="str">
        <x:v>Morpheus</x:v>
      </x:c>
      <x:c r="E784" s="9" t="str"/>
      <x:c r="F784" s="9" t="str">
        <x:v>Soap Bubble Productions</x:v>
      </x:c>
      <x:c r="G784" s="9" t="str">
        <x:v>Piranha Interactive Publishing</x:v>
      </x:c>
      <x:c r="H784" s="9" t="n">
        <x:v>1998</x:v>
      </x:c>
      <x:c r="I784" s="9" t="str">
        <x:v>Yes</x:v>
      </x:c>
      <x:c r="J784" s="9" t="str">
        <x:v>No</x:v>
      </x:c>
      <x:c r="K784" s="9" t="str">
        <x:v>No</x:v>
      </x:c>
      <x:c r="L784" s="9" t="str">
        <x:v>No</x:v>
      </x:c>
      <x:c r="M784" s="9" t="str">
        <x:v>First-person adventure</x:v>
      </x:c>
      <x:c r="N784" s="9" t="str">
        <x:v>Live-action + pre-rendered CG</x:v>
      </x:c>
      <x:c r="O784" s="9" t="n">
        <x:v>4</x:v>
      </x:c>
      <x:c r="P784" s="9" t="str">
        <x:v>Pre-rendered CG</x:v>
      </x:c>
      <x:c r="Q784" s="9" t="str">
        <x:v>Released</x:v>
      </x:c>
      <x:c r="R784" s="9" t="str">
        <x:v>PC original</x:v>
      </x:c>
      <x:c r="S784" s="9" t="str">
        <x:v>Windows</x:v>
      </x:c>
      <x:c r="T784" s="9" t="str">
        <x:v>Unknown — verify</x:v>
      </x:c>
      <x:c r="U784" s="9" t="n">
        <x:v>3</x:v>
      </x:c>
      <x:c r="V784" s="9" t="str">
        <x:v>Yes</x:v>
      </x:c>
      <x:c r="W784" s="9" t="str">
        <x:v>Mouse</x:v>
      </x:c>
      <x:c r="X784" s="9" t="str">
        <x:v>Low</x:v>
      </x:c>
      <x:c r="Y784" s="9" t="str"/>
      <x:c r="Z784" s="9" t="str">
        <x:v>10–15 hr</x:v>
      </x:c>
      <x:c r="AA784" s="9" t="str">
        <x:v>A Myst-style dream ship where ghostly live-action passengers replay the voyage that trapped them.</x:v>
      </x:c>
      <x:c r="AB784" s="9" t="str">
        <x:v>None known</x:v>
      </x:c>
      <x:c r="AC784" s="9" t="str">
        <x:v>QuickTime video in a window, roughly 320x240 or smaller, ~15 fps (verify)</x:v>
      </x:c>
      <x:c r="AD784" s="9" t="str">
        <x:v>Hard; abstract puzzles</x:v>
      </x:c>
      <x:c r="AE784" s="9" t="str">
        <x:v>Single ending (verify)</x:v>
      </x:c>
      <x:c r="AF784" s="9" t="str">
        <x:v>Reviewed by Andrew Plotkin (zarf), who noted its strong atmosphere.</x:v>
      </x:c>
      <x:c r="AG784" s="9" t="str">
        <x:v>Hybrid Mac/PC disc (verify)</x:v>
      </x:c>
      <x:c r="AH784" s="9" t="str">
        <x:v>No</x:v>
      </x:c>
      <x:c r="AI784" s="9" t="str">
        <x:v>Easy</x:v>
      </x:c>
      <x:c r="AJ784" s="9" t="str">
        <x:v>1990s Mac or an emulator such as SheepShaver/Basilisk II.</x:v>
      </x:c>
      <x:c r="AK784" s="9" t="str">
        <x:v>Disc count 3 is from memory (verify).</x:v>
      </x:c>
      <x:c r="AL784" s="10"/>
      <x:c r="AM784" s="10"/>
      <x:c r="AN784" s="10"/>
      <x:c r="AO784" s="9"/>
      <x:c r="AP784" s="11" t="str">
        <x:f>HYPERLINK("https://www.pricecharting.com/search-products?q=Morpheus+macintosh&amp;type=prices","PriceCharting")</x:f>
        <x:v>PriceCharting</x:v>
      </x:c>
      <x:c r="AQ784" s="9"/>
      <x:c r="AR784" s="9"/>
      <x:c r="AS784" s="9"/>
      <x:c r="AT784" s="9"/>
      <x:c r="AU784" s="9" t="str">
        <x:v>No market</x:v>
      </x:c>
      <x:c r="AV784" s="9" t="str">
        <x:v>Not listed on PriceCharting, whose Macintosh console has only about 110 items (searched 2026-10-25).</x:v>
      </x:c>
      <x:c r="AW784" s="9"/>
      <x:c r="AX784" s="9"/>
      <x:c r="AY784" s="9" t="str">
        <x:v>86%</x:v>
      </x:c>
      <x:c r="AZ784" s="9"/>
      <x:c r="BA784" s="11" t="str">
        <x:f>HYPERLINK("https://www.mobygames.com/game/4669","MobyGames")</x:f>
        <x:v>MobyGames</x:v>
      </x:c>
      <x:c r="BB784" s="9"/>
      <x:c r="BC784" s="9"/>
      <x:c r="BD784" s="9"/>
      <x:c r="BE784" s="11" t="str">
        <x:f>HYPERLINK("https://en.wikipedia.org/wiki/Morpheus_(1998_video_game)","Wikipedia")</x:f>
        <x:v>Wikipedia</x:v>
      </x:c>
      <x:c r="BF784" s="11" t="str">
        <x:f>HYPERLINK("https://backloggd.com/search/games/Morpheus/","Backloggd")</x:f>
        <x:v>Backloggd</x:v>
      </x:c>
      <x:c r="BG784" s="9"/>
      <x:c r="BH784" s="9"/>
      <x:c r="BI784" s="12" t="str">
        <x:v>No</x:v>
      </x:c>
      <x:c r="BJ784" s="12" t="str"/>
      <x:c r="BK784" s="12" t="str">
        <x:v>No</x:v>
      </x:c>
      <x:c r="BL784" s="12" t="str"/>
      <x:c r="BM784" s="12" t="str"/>
      <x:c r="BN784" s="12" t="str"/>
      <x:c r="BO784" s="12" t="str"/>
      <x:c r="BP784" s="12" t="str"/>
      <x:c r="BQ784" s="12" t="str"/>
    </x:row>
    <x:row r="785">
      <x:c r="A785" s="9" t="str">
        <x:v>mac-79</x:v>
      </x:c>
      <x:c r="B785" s="9" t="str">
        <x:v>amber-journeys-beyond</x:v>
      </x:c>
      <x:c r="C785" s="9" t="str">
        <x:v>Macintosh</x:v>
      </x:c>
      <x:c r="D785" s="9" t="str">
        <x:v>Amber: Journeys Beyond</x:v>
      </x:c>
      <x:c r="E785" s="9" t="str"/>
      <x:c r="F785" s="9" t="str">
        <x:v>Hue Forest Entertainment</x:v>
      </x:c>
      <x:c r="G785" s="9" t="str">
        <x:v>Hue Forest Entertainment</x:v>
      </x:c>
      <x:c r="H785" s="9" t="n">
        <x:v>1996</x:v>
      </x:c>
      <x:c r="I785" s="9" t="str">
        <x:v>Yes</x:v>
      </x:c>
      <x:c r="J785" s="9" t="str">
        <x:v>No</x:v>
      </x:c>
      <x:c r="K785" s="9" t="str">
        <x:v>No</x:v>
      </x:c>
      <x:c r="L785" s="9" t="str">
        <x:v>No</x:v>
      </x:c>
      <x:c r="M785" s="9" t="str">
        <x:v>First-person ghost adventure</x:v>
      </x:c>
      <x:c r="N785" s="9" t="str">
        <x:v>Live-action + pre-rendered CG</x:v>
      </x:c>
      <x:c r="O785" s="9" t="n">
        <x:v>4</x:v>
      </x:c>
      <x:c r="P785" s="9" t="str">
        <x:v>Pre-rendered CG</x:v>
      </x:c>
      <x:c r="Q785" s="9" t="str">
        <x:v>Released</x:v>
      </x:c>
      <x:c r="R785" s="9" t="str">
        <x:v>PC original</x:v>
      </x:c>
      <x:c r="S785" s="9" t="str">
        <x:v>Windows</x:v>
      </x:c>
      <x:c r="T785" s="9" t="str">
        <x:v>Unknown — verify</x:v>
      </x:c>
      <x:c r="U785" s="9" t="n">
        <x:v>1</x:v>
      </x:c>
      <x:c r="V785" s="9" t="str">
        <x:v>Yes</x:v>
      </x:c>
      <x:c r="W785" s="9" t="str">
        <x:v>Mouse</x:v>
      </x:c>
      <x:c r="X785" s="9" t="str">
        <x:v>Low</x:v>
      </x:c>
      <x:c r="Y785" s="9" t="str"/>
      <x:c r="Z785" s="9" t="str">
        <x:v>4–8 hr</x:v>
      </x:c>
      <x:c r="AA785" s="9" t="str">
        <x:v>Use a ghost-detecting gadget to free the spirits haunting a seaside house, each told through live-action video.</x:v>
      </x:c>
      <x:c r="AB785" s="9" t="str">
        <x:v>None known</x:v>
      </x:c>
      <x:c r="AC785" s="9" t="str">
        <x:v>QuickTime video in a window, roughly 320x240 or smaller, ~15 fps (verify)</x:v>
      </x:c>
      <x:c r="AD785" s="9" t="str">
        <x:v>Moderate</x:v>
      </x:c>
      <x:c r="AE785" s="9" t="str">
        <x:v>Single ending (verify)</x:v>
      </x:c>
      <x:c r="AF785" s="9" t="str">
        <x:v>An indie title from a tiny Montana studio, made Mac-first.</x:v>
      </x:c>
      <x:c r="AG785" s="9" t="str">
        <x:v>Hybrid Mac/PC disc (verify)</x:v>
      </x:c>
      <x:c r="AH785" s="9" t="str">
        <x:v>No</x:v>
      </x:c>
      <x:c r="AI785" s="9" t="str">
        <x:v>Easy</x:v>
      </x:c>
      <x:c r="AJ785" s="9" t="str">
        <x:v>1990s Mac or an emulator such as SheepShaver/Basilisk II.</x:v>
      </x:c>
      <x:c r="AK785" s="9" t="str">
        <x:v>Mac release confirmed by Macintosh Repository.</x:v>
      </x:c>
      <x:c r="AL785" s="10"/>
      <x:c r="AM785" s="10"/>
      <x:c r="AN785" s="10"/>
      <x:c r="AO785" s="9"/>
      <x:c r="AP785" s="11" t="str">
        <x:f>HYPERLINK("https://www.pricecharting.com/search-products?q=Amber%3A+Journeys+Beyond+macintosh&amp;type=prices","PriceCharting")</x:f>
        <x:v>PriceCharting</x:v>
      </x:c>
      <x:c r="AQ785" s="9"/>
      <x:c r="AR785" s="9"/>
      <x:c r="AS785" s="9"/>
      <x:c r="AT785" s="9"/>
      <x:c r="AU785" s="9" t="str">
        <x:v>No market</x:v>
      </x:c>
      <x:c r="AV785" s="9" t="str">
        <x:v>Not listed on PriceCharting, whose Macintosh console has only about 110 items (searched 2026-10-25).</x:v>
      </x:c>
      <x:c r="AW785" s="9"/>
      <x:c r="AX785" s="9"/>
      <x:c r="AY785" s="9" t="str">
        <x:v>88%</x:v>
      </x:c>
      <x:c r="AZ785" s="9"/>
      <x:c r="BA785" s="11" t="str">
        <x:f>HYPERLINK("https://www.mobygames.com/game/2430","MobyGames")</x:f>
        <x:v>MobyGames</x:v>
      </x:c>
      <x:c r="BB785" s="9" t="str">
        <x:v>90%</x:v>
      </x:c>
      <x:c r="BC785" s="9" t="str">
        <x:v>average of 1 review on Wikipedia (Computer Games Strategy Plus)</x:v>
      </x:c>
      <x:c r="BD785" s="9" t="str">
        <x:f>HYPERLINK("https://en.wikipedia.org/wiki/Amber%3A_Journeys_Beyond","Source")</x:f>
        <x:v>Source</x:v>
      </x:c>
      <x:c r="BE785" s="11" t="str">
        <x:f>HYPERLINK("https://en.wikipedia.org/wiki/Amber:_Journeys_Beyond","Wikipedia")</x:f>
        <x:v>Wikipedia</x:v>
      </x:c>
      <x:c r="BF785" s="11" t="str">
        <x:f>HYPERLINK("https://backloggd.com/search/games/Amber%3A%20Journeys%20Beyond/","Backloggd")</x:f>
        <x:v>Backloggd</x:v>
      </x:c>
      <x:c r="BG785" s="9"/>
      <x:c r="BH785" s="9"/>
      <x:c r="BI785" s="12" t="str">
        <x:v>No</x:v>
      </x:c>
      <x:c r="BJ785" s="12" t="str"/>
      <x:c r="BK785" s="12" t="str">
        <x:v>No</x:v>
      </x:c>
      <x:c r="BL785" s="12" t="str"/>
      <x:c r="BM785" s="12" t="str"/>
      <x:c r="BN785" s="12" t="str"/>
      <x:c r="BO785" s="12" t="str"/>
      <x:c r="BP785" s="12" t="str"/>
      <x:c r="BQ785" s="12" t="str"/>
    </x:row>
    <x:row r="786">
      <x:c r="A786" s="9" t="str">
        <x:v>mac-80</x:v>
      </x:c>
      <x:c r="B786" s="9" t="str">
        <x:v>in-the-1st-degree</x:v>
      </x:c>
      <x:c r="C786" s="9" t="str">
        <x:v>Macintosh</x:v>
      </x:c>
      <x:c r="D786" s="9" t="str">
        <x:v>In the 1st Degree</x:v>
      </x:c>
      <x:c r="E786" s="9" t="str"/>
      <x:c r="F786" s="9" t="str">
        <x:v>Broderbund</x:v>
      </x:c>
      <x:c r="G786" s="9" t="str">
        <x:v>Broderbund</x:v>
      </x:c>
      <x:c r="H786" s="9" t="n">
        <x:v>1995</x:v>
      </x:c>
      <x:c r="I786" s="9" t="str">
        <x:v>Yes</x:v>
      </x:c>
      <x:c r="J786" s="9" t="str">
        <x:v>No</x:v>
      </x:c>
      <x:c r="K786" s="9" t="str">
        <x:v>No</x:v>
      </x:c>
      <x:c r="L786" s="9" t="str">
        <x:v>No</x:v>
      </x:c>
      <x:c r="M786" s="9" t="str">
        <x:v>Courtroom drama</x:v>
      </x:c>
      <x:c r="N786" s="9" t="str">
        <x:v>Live-action</x:v>
      </x:c>
      <x:c r="O786" s="9" t="n">
        <x:v>7</x:v>
      </x:c>
      <x:c r="P786" s="9" t="str">
        <x:v>Interactive movie</x:v>
      </x:c>
      <x:c r="Q786" s="9" t="str">
        <x:v>Released</x:v>
      </x:c>
      <x:c r="R786" s="9" t="str">
        <x:v>PC original</x:v>
      </x:c>
      <x:c r="S786" s="9" t="str">
        <x:v>Windows</x:v>
      </x:c>
      <x:c r="T786" s="9" t="str">
        <x:v>Unknown — verify</x:v>
      </x:c>
      <x:c r="U786" s="9" t="n">
        <x:v>1</x:v>
      </x:c>
      <x:c r="V786" s="9" t="str">
        <x:v>Yes</x:v>
      </x:c>
      <x:c r="W786" s="9" t="str">
        <x:v>Mouse</x:v>
      </x:c>
      <x:c r="X786" s="9" t="str">
        <x:v>Low</x:v>
      </x:c>
      <x:c r="Y786" s="9" t="str"/>
      <x:c r="Z786" s="9" t="str">
        <x:v>2–4 hr</x:v>
      </x:c>
      <x:c r="AA786" s="9" t="str">
        <x:v>You are the prosecutor in an art-world murder trial, questioning live-action witnesses on the stand.</x:v>
      </x:c>
      <x:c r="AB786" s="9" t="str">
        <x:v>None known</x:v>
      </x:c>
      <x:c r="AC786" s="9" t="str">
        <x:v>QuickTime video in a window, roughly 320x240 or smaller, ~15 fps (verify)</x:v>
      </x:c>
      <x:c r="AD786" s="9" t="str">
        <x:v>Moderate; outcome hinges on questioning and evidence</x:v>
      </x:c>
      <x:c r="AE786" s="9" t="str">
        <x:v>Conviction or acquittal</x:v>
      </x:c>
      <x:c r="AF786" s="9" t="str">
        <x:v>One of Broderbund's few adult-oriented interactive movies.</x:v>
      </x:c>
      <x:c r="AG786" s="9" t="str">
        <x:v>Hybrid Mac/PC disc</x:v>
      </x:c>
      <x:c r="AH786" s="9" t="str">
        <x:v>No</x:v>
      </x:c>
      <x:c r="AI786" s="9" t="str">
        <x:v>Easy</x:v>
      </x:c>
      <x:c r="AJ786" s="9" t="str">
        <x:v>1990s Mac or an emulator such as SheepShaver/Basilisk II.</x:v>
      </x:c>
      <x:c r="AK786" s="9" t="str">
        <x:v>Mac release confirmed by Macintosh Repository.</x:v>
      </x:c>
      <x:c r="AL786" s="10"/>
      <x:c r="AM786" s="10"/>
      <x:c r="AN786" s="10"/>
      <x:c r="AO786" s="9"/>
      <x:c r="AP786" s="11" t="str">
        <x:f>HYPERLINK("https://www.pricecharting.com/search-products?q=In+the+1st+Degree+macintosh&amp;type=prices","PriceCharting")</x:f>
        <x:v>PriceCharting</x:v>
      </x:c>
      <x:c r="AQ786" s="9"/>
      <x:c r="AR786" s="9"/>
      <x:c r="AS786" s="9"/>
      <x:c r="AT786" s="9"/>
      <x:c r="AU786" s="9" t="str">
        <x:v>No market</x:v>
      </x:c>
      <x:c r="AV786" s="9" t="str">
        <x:v>Not listed on PriceCharting, whose Macintosh console has only about 110 items (searched 2026-10-25).</x:v>
      </x:c>
      <x:c r="AW786" s="9"/>
      <x:c r="AX786" s="9"/>
      <x:c r="AY786" s="9"/>
      <x:c r="AZ786" s="9"/>
      <x:c r="BA786" s="11" t="str">
        <x:f>HYPERLINK("https://www.mobygames.com/game/2035/in-the-1st-degree/","MobyGames")</x:f>
        <x:v>MobyGames</x:v>
      </x:c>
      <x:c r="BB786" s="9" t="str">
        <x:v>80%</x:v>
      </x:c>
      <x:c r="BC786" s="9" t="str">
        <x:v>Macworld on Wikipedia, 1 review</x:v>
      </x:c>
      <x:c r="BD786" s="9" t="str">
        <x:f>HYPERLINK("https://en.wikipedia.org/wiki/In_the_1st_Degree","Source")</x:f>
        <x:v>Source</x:v>
      </x:c>
      <x:c r="BE786" s="11" t="str">
        <x:f>HYPERLINK("https://en.wikipedia.org/wiki/In_the_1st_Degree","Wikipedia")</x:f>
        <x:v>Wikipedia</x:v>
      </x:c>
      <x:c r="BF786" s="11" t="str">
        <x:f>HYPERLINK("https://backloggd.com/search/games/In%20the%201st%20Degree/","Backloggd")</x:f>
        <x:v>Backloggd</x:v>
      </x:c>
      <x:c r="BG786" s="9"/>
      <x:c r="BH786" s="9"/>
      <x:c r="BI786" s="12" t="str">
        <x:v>No</x:v>
      </x:c>
      <x:c r="BJ786" s="12" t="str"/>
      <x:c r="BK786" s="12" t="str">
        <x:v>No</x:v>
      </x:c>
      <x:c r="BL786" s="12" t="str"/>
      <x:c r="BM786" s="12" t="str"/>
      <x:c r="BN786" s="12" t="str"/>
      <x:c r="BO786" s="12" t="str"/>
      <x:c r="BP786" s="12" t="str"/>
      <x:c r="BQ786" s="12" t="str"/>
    </x:row>
    <x:row r="787">
      <x:c r="A787" s="9" t="str">
        <x:v>mac-81</x:v>
      </x:c>
      <x:c r="B787" s="9" t="str">
        <x:v>santa-fe-mysteries-the-elk-moon-murder</x:v>
      </x:c>
      <x:c r="C787" s="9" t="str">
        <x:v>Macintosh</x:v>
      </x:c>
      <x:c r="D787" s="9" t="str">
        <x:v>Santa Fe Mysteries: The Elk Moon Murder</x:v>
      </x:c>
      <x:c r="E787" s="9" t="str"/>
      <x:c r="F787" s="9" t="str">
        <x:v>Activision</x:v>
      </x:c>
      <x:c r="G787" s="9" t="str">
        <x:v>Activision</x:v>
      </x:c>
      <x:c r="H787" s="9" t="n">
        <x:v>1996</x:v>
      </x:c>
      <x:c r="I787" s="9" t="str">
        <x:v>Yes</x:v>
      </x:c>
      <x:c r="J787" s="9" t="str">
        <x:v>No</x:v>
      </x:c>
      <x:c r="K787" s="9" t="str">
        <x:v>No</x:v>
      </x:c>
      <x:c r="L787" s="9" t="str">
        <x:v>No</x:v>
      </x:c>
      <x:c r="M787" s="9" t="str">
        <x:v>FMV murder mystery</x:v>
      </x:c>
      <x:c r="N787" s="9" t="str">
        <x:v>Live-action</x:v>
      </x:c>
      <x:c r="O787" s="9" t="n">
        <x:v>7</x:v>
      </x:c>
      <x:c r="P787" s="9" t="str">
        <x:v>Interactive movie</x:v>
      </x:c>
      <x:c r="Q787" s="9" t="str">
        <x:v>Released</x:v>
      </x:c>
      <x:c r="R787" s="9" t="str">
        <x:v>Original production</x:v>
      </x:c>
      <x:c r="S787" s="9" t="str">
        <x:v>DOS, Windows</x:v>
      </x:c>
      <x:c r="T787" s="9" t="str">
        <x:v>Amanda Donohoe, Marc Alaimo</x:v>
      </x:c>
      <x:c r="U787" s="9" t="str">
        <x:v>Unknown — verify</x:v>
      </x:c>
      <x:c r="V787" s="9" t="str">
        <x:v>Yes</x:v>
      </x:c>
      <x:c r="W787" s="9" t="str">
        <x:v>Mouse</x:v>
      </x:c>
      <x:c r="X787" s="9" t="str">
        <x:v>Low</x:v>
      </x:c>
      <x:c r="Y787" s="9" t="str"/>
      <x:c r="Z787" s="9" t="str">
        <x:v>3–5 hr</x:v>
      </x:c>
      <x:c r="AA787" s="9" t="str">
        <x:v>Five days to solve the murder of a Native American artist, interviewing a cast of Hollywood actors shot on location in Santa Fe.</x:v>
      </x:c>
      <x:c r="AB787" s="9" t="str">
        <x:v>None known</x:v>
      </x:c>
      <x:c r="AC787" s="9" t="str">
        <x:v>QuickTime video in a window, roughly 320x240 or smaller, ~15 fps (verify)</x:v>
      </x:c>
      <x:c r="AD787" s="9" t="str">
        <x:v>Moderate; time limit of 8 hours per day</x:v>
      </x:c>
      <x:c r="AE787" s="9" t="str">
        <x:v>Correct or wrong arrest warrant</x:v>
      </x:c>
      <x:c r="AF787" s="9" t="str">
        <x:v>Cost about $1 million; Shannon Gilligan made it after the Virtual Murder series. Sequel: Sacred Ground.</x:v>
      </x:c>
      <x:c r="AG787" s="9" t="str">
        <x:v>Hybrid Mac/PC disc (verify)</x:v>
      </x:c>
      <x:c r="AH787" s="9" t="str">
        <x:v>No</x:v>
      </x:c>
      <x:c r="AI787" s="9" t="str">
        <x:v>Easy</x:v>
      </x:c>
      <x:c r="AJ787" s="9" t="str">
        <x:v>1990s Mac or an emulator such as SheepShaver/Basilisk II.</x:v>
      </x:c>
      <x:c r="AK787" s="9" t="str">
        <x:v>Mac version confirmed by Wikipedia and MobyGames. MobyGames scores are pooled, so left blank.</x:v>
      </x:c>
      <x:c r="AL787" s="10"/>
      <x:c r="AM787" s="10"/>
      <x:c r="AN787" s="10"/>
      <x:c r="AO787" s="9"/>
      <x:c r="AP787" s="11" t="str">
        <x:f>HYPERLINK("https://www.pricecharting.com/search-products?q=Santa+Fe+Mysteries%3A+The+Elk+Moon+Murder+macintosh&amp;type=prices","PriceCharting")</x:f>
        <x:v>PriceCharting</x:v>
      </x:c>
      <x:c r="AQ787" s="9"/>
      <x:c r="AR787" s="9"/>
      <x:c r="AS787" s="9"/>
      <x:c r="AT787" s="9"/>
      <x:c r="AU787" s="9" t="str">
        <x:v>No market</x:v>
      </x:c>
      <x:c r="AV787" s="9" t="str">
        <x:v>Not listed on PriceCharting, whose Macintosh console has only about 110 items (searched 2026-10-25).</x:v>
      </x:c>
      <x:c r="AW787" s="9"/>
      <x:c r="AX787" s="9"/>
      <x:c r="AY787" s="9" t="str">
        <x:v>69%</x:v>
      </x:c>
      <x:c r="AZ787" s="9"/>
      <x:c r="BA787" s="11" t="str">
        <x:f>HYPERLINK("https://www.mobygames.com/game/4802","MobyGames")</x:f>
        <x:v>MobyGames</x:v>
      </x:c>
      <x:c r="BB787" s="9"/>
      <x:c r="BC787" s="9"/>
      <x:c r="BD787" s="9"/>
      <x:c r="BE787" s="11" t="str">
        <x:f>HYPERLINK("https://en.wikipedia.org/wiki/Santa_Fe_Mysteries:_The_Elk_Moon_Murder","Wikipedia")</x:f>
        <x:v>Wikipedia</x:v>
      </x:c>
      <x:c r="BF787" s="11" t="str">
        <x:f>HYPERLINK("https://backloggd.com/search/games/Santa%20Fe%20Mysteries%3A%20The%20Elk%20Moon%20Murder/","Backloggd")</x:f>
        <x:v>Backloggd</x:v>
      </x:c>
      <x:c r="BG787" s="9"/>
      <x:c r="BH787" s="9"/>
      <x:c r="BI787" s="12" t="str">
        <x:v>No</x:v>
      </x:c>
      <x:c r="BJ787" s="12" t="str"/>
      <x:c r="BK787" s="12" t="str">
        <x:v>No</x:v>
      </x:c>
      <x:c r="BL787" s="12" t="str"/>
      <x:c r="BM787" s="12" t="str"/>
      <x:c r="BN787" s="12" t="str"/>
      <x:c r="BO787" s="12" t="str"/>
      <x:c r="BP787" s="12" t="str"/>
      <x:c r="BQ787" s="12" t="str"/>
    </x:row>
    <x:row r="788">
      <x:c r="A788" s="9" t="str">
        <x:v>mac-82</x:v>
      </x:c>
      <x:c r="B788" s="9" t="str">
        <x:v>steven-spielbergs-directors-chair</x:v>
      </x:c>
      <x:c r="C788" s="9" t="str">
        <x:v>Macintosh</x:v>
      </x:c>
      <x:c r="D788" s="9" t="str">
        <x:v>Steven Spielberg's Director's Chair</x:v>
      </x:c>
      <x:c r="E788" s="9" t="str"/>
      <x:c r="F788" s="9" t="str">
        <x:v>Knowledge Adventure, DreamWorks Interactive</x:v>
      </x:c>
      <x:c r="G788" s="9" t="str">
        <x:v>Knowledge Adventure</x:v>
      </x:c>
      <x:c r="H788" s="9" t="n">
        <x:v>1996</x:v>
      </x:c>
      <x:c r="I788" s="9" t="str">
        <x:v>Yes</x:v>
      </x:c>
      <x:c r="J788" s="9" t="str">
        <x:v>No</x:v>
      </x:c>
      <x:c r="K788" s="9" t="str">
        <x:v>No</x:v>
      </x:c>
      <x:c r="L788" s="9" t="str">
        <x:v>No</x:v>
      </x:c>
      <x:c r="M788" s="9" t="str">
        <x:v>Filmmaking simulation</x:v>
      </x:c>
      <x:c r="N788" s="9" t="str">
        <x:v>Live-action</x:v>
      </x:c>
      <x:c r="O788" s="9" t="n">
        <x:v>8</x:v>
      </x:c>
      <x:c r="P788" s="9" t="str">
        <x:v>Interactive movie</x:v>
      </x:c>
      <x:c r="Q788" s="9" t="str">
        <x:v>Released</x:v>
      </x:c>
      <x:c r="R788" s="9" t="str">
        <x:v>PC original</x:v>
      </x:c>
      <x:c r="S788" s="9" t="str">
        <x:v>Windows</x:v>
      </x:c>
      <x:c r="T788" s="9" t="str">
        <x:v>Steven Spielberg, Quentin Tarantino, Jennifer Aniston, Penn &amp; Teller</x:v>
      </x:c>
      <x:c r="U788" s="9" t="str">
        <x:v>Unknown — verify</x:v>
      </x:c>
      <x:c r="V788" s="9" t="str">
        <x:v>Yes</x:v>
      </x:c>
      <x:c r="W788" s="9" t="str">
        <x:v>Mouse</x:v>
      </x:c>
      <x:c r="X788" s="9" t="str">
        <x:v>Low–Med</x:v>
      </x:c>
      <x:c r="Y788" s="9" t="str">
        <x:v>Celebrity footage; licensed stock music possible</x:v>
      </x:c>
      <x:c r="Z788" s="9" t="str">
        <x:v>2–4 hr</x:v>
      </x:c>
      <x:c r="AA788" s="9" t="str">
        <x:v>Quentin Tarantino and Jennifer Aniston star in a movie you shoot and edit yourself, with Spielberg as your mentor.</x:v>
      </x:c>
      <x:c r="AB788" s="9" t="str">
        <x:v>None known</x:v>
      </x:c>
      <x:c r="AC788" s="9" t="str">
        <x:v>QuickTime video in a window, roughly 320x240 or smaller, ~15 fps (verify)</x:v>
      </x:c>
      <x:c r="AD788" s="9" t="str">
        <x:v>Easy</x:v>
      </x:c>
      <x:c r="AE788" s="9" t="str">
        <x:v>Your edited film plays back; quality varies</x:v>
      </x:c>
      <x:c r="AF788" s="9" t="str">
        <x:v>Often cited as one of Tarantino's oddest acting roles.</x:v>
      </x:c>
      <x:c r="AG788" s="9" t="str">
        <x:v>Hybrid Mac/PC disc (verify)</x:v>
      </x:c>
      <x:c r="AH788" s="9" t="str">
        <x:v>No</x:v>
      </x:c>
      <x:c r="AI788" s="9" t="str">
        <x:v>Easy</x:v>
      </x:c>
      <x:c r="AJ788" s="9" t="str">
        <x:v>1990s Mac or SheepShaver; the Internet Archive hosts a browser-playable PC version.</x:v>
      </x:c>
      <x:c r="AK788" s="9" t="str">
        <x:v>Mac version from memory and period listings (verify). Was made playable in-browser via the Internet Archive.</x:v>
      </x:c>
      <x:c r="AL788" s="10"/>
      <x:c r="AM788" s="10"/>
      <x:c r="AN788" s="10"/>
      <x:c r="AO788" s="9"/>
      <x:c r="AP788" s="11" t="str">
        <x:f>HYPERLINK("https://www.pricecharting.com/search-products?q=Steven+Spielberg%27s+Director%27s+Chair+macintosh&amp;type=prices","PriceCharting")</x:f>
        <x:v>PriceCharting</x:v>
      </x:c>
      <x:c r="AQ788" s="9"/>
      <x:c r="AR788" s="9"/>
      <x:c r="AS788" s="9"/>
      <x:c r="AT788" s="9"/>
      <x:c r="AU788" s="9" t="str">
        <x:v>No market</x:v>
      </x:c>
      <x:c r="AV788" s="9" t="str">
        <x:v>Not listed on PriceCharting, whose Macintosh console has only about 110 items (searched 2026-10-25).</x:v>
      </x:c>
      <x:c r="AW788" s="9"/>
      <x:c r="AX788" s="9"/>
      <x:c r="AY788" s="9"/>
      <x:c r="AZ788" s="9"/>
      <x:c r="BA788" s="11" t="str">
        <x:f>HYPERLINK("https://www.mobygames.com/search/?q=Steven+Spielberg%27s+Director%27s+Chair","MobyGames")</x:f>
        <x:v>MobyGames</x:v>
      </x:c>
      <x:c r="BB788" s="9"/>
      <x:c r="BC788" s="9"/>
      <x:c r="BD788" s="9"/>
      <x:c r="BE788" s="11" t="str">
        <x:f>HYPERLINK("https://en.wikipedia.org/wiki/Steven_Spielberg%27s_Director%27s_Chair","Wikipedia")</x:f>
        <x:v>Wikipedia</x:v>
      </x:c>
      <x:c r="BF788" s="11" t="str">
        <x:f>HYPERLINK("https://backloggd.com/search/games/Steven%20Spielberg%27s%20Director%27s%20Chair/","Backloggd")</x:f>
        <x:v>Backloggd</x:v>
      </x:c>
      <x:c r="BG788" s="9"/>
      <x:c r="BH788" s="9"/>
      <x:c r="BI788" s="12" t="str">
        <x:v>No</x:v>
      </x:c>
      <x:c r="BJ788" s="12" t="str"/>
      <x:c r="BK788" s="12" t="str">
        <x:v>No</x:v>
      </x:c>
      <x:c r="BL788" s="12" t="str"/>
      <x:c r="BM788" s="12" t="str"/>
      <x:c r="BN788" s="12" t="str"/>
      <x:c r="BO788" s="12" t="str"/>
      <x:c r="BP788" s="12" t="str"/>
      <x:c r="BQ788" s="12" t="str"/>
    </x:row>
    <x:row r="789">
      <x:c r="A789" s="9" t="str">
        <x:v>mac-83</x:v>
      </x:c>
      <x:c r="B789" s="9" t="str">
        <x:v>pyst</x:v>
      </x:c>
      <x:c r="C789" s="9" t="str">
        <x:v>Macintosh</x:v>
      </x:c>
      <x:c r="D789" s="9" t="str">
        <x:v>Pyst</x:v>
      </x:c>
      <x:c r="E789" s="9" t="str"/>
      <x:c r="F789" s="9" t="str">
        <x:v>Parroty Interactive</x:v>
      </x:c>
      <x:c r="G789" s="9" t="str">
        <x:v>Parroty Interactive</x:v>
      </x:c>
      <x:c r="H789" s="9" t="n">
        <x:v>1996</x:v>
      </x:c>
      <x:c r="I789" s="9" t="str">
        <x:v>Yes</x:v>
      </x:c>
      <x:c r="J789" s="9" t="str">
        <x:v>No</x:v>
      </x:c>
      <x:c r="K789" s="9" t="str">
        <x:v>No</x:v>
      </x:c>
      <x:c r="L789" s="9" t="str">
        <x:v>No</x:v>
      </x:c>
      <x:c r="M789" s="9" t="str">
        <x:v>Parody / exploration</x:v>
      </x:c>
      <x:c r="N789" s="9" t="str">
        <x:v>Live-action + pre-rendered CG</x:v>
      </x:c>
      <x:c r="O789" s="9" t="n">
        <x:v>3</x:v>
      </x:c>
      <x:c r="P789" s="9" t="str">
        <x:v>Cutscenes only</x:v>
      </x:c>
      <x:c r="Q789" s="9" t="str">
        <x:v>Released</x:v>
      </x:c>
      <x:c r="R789" s="9" t="str">
        <x:v>PC original</x:v>
      </x:c>
      <x:c r="S789" s="9" t="str">
        <x:v>Windows</x:v>
      </x:c>
      <x:c r="T789" s="9" t="str">
        <x:v>John Goodman</x:v>
      </x:c>
      <x:c r="U789" s="9" t="n">
        <x:v>1</x:v>
      </x:c>
      <x:c r="V789" s="9" t="str">
        <x:v>No</x:v>
      </x:c>
      <x:c r="W789" s="9" t="str">
        <x:v>Mouse</x:v>
      </x:c>
      <x:c r="X789" s="9" t="str">
        <x:v>Low</x:v>
      </x:c>
      <x:c r="Y789" s="9" t="str"/>
      <x:c r="Z789" s="9" t="str">
        <x:v>1 hr</x:v>
      </x:c>
      <x:c r="AA789" s="9" t="str">
        <x:v>John Goodman plays King Mattruss in a Myst parody where the island has been trashed by tourists.</x:v>
      </x:c>
      <x:c r="AB789" s="9" t="str">
        <x:v>None known</x:v>
      </x:c>
      <x:c r="AC789" s="9" t="str">
        <x:v>QuickTime video in a window, roughly 320x240 or smaller, ~15 fps (verify)</x:v>
      </x:c>
      <x:c r="AD789" s="9" t="str">
        <x:v>Trivial; no real puzzles</x:v>
      </x:c>
      <x:c r="AE789" s="9" t="str">
        <x:v>None</x:v>
      </x:c>
      <x:c r="AF789" s="9" t="str">
        <x:v>Parroty Interactive was a Palladium/Simon &amp; Schuster label devoted to parodies.</x:v>
      </x:c>
      <x:c r="AG789" s="9" t="str">
        <x:v>Hybrid Mac/PC disc (verify)</x:v>
      </x:c>
      <x:c r="AH789" s="9" t="str">
        <x:v>No</x:v>
      </x:c>
      <x:c r="AI789" s="9" t="str">
        <x:v>Easy</x:v>
      </x:c>
      <x:c r="AJ789" s="9" t="str">
        <x:v>1990s Mac or an emulator such as SheepShaver/Basilisk II.</x:v>
      </x:c>
      <x:c r="AK789" s="9" t="str">
        <x:v>Kept despite low fmv for the John Goodman video, which is the main draw. Mac version from memory (verify).</x:v>
      </x:c>
      <x:c r="AL789" s="10"/>
      <x:c r="AM789" s="10"/>
      <x:c r="AN789" s="10"/>
      <x:c r="AO789" s="9"/>
      <x:c r="AP789" s="11" t="str">
        <x:f>HYPERLINK("https://www.pricecharting.com/search-products?q=Pyst+macintosh&amp;type=prices","PriceCharting")</x:f>
        <x:v>PriceCharting</x:v>
      </x:c>
      <x:c r="AQ789" s="9"/>
      <x:c r="AR789" s="9"/>
      <x:c r="AS789" s="9"/>
      <x:c r="AT789" s="9"/>
      <x:c r="AU789" s="9" t="str">
        <x:v>No market</x:v>
      </x:c>
      <x:c r="AV789" s="9" t="str">
        <x:v>Not listed on PriceCharting, whose Macintosh console has only about 110 items (searched 2026-10-25).</x:v>
      </x:c>
      <x:c r="AW789" s="9"/>
      <x:c r="AX789" s="9"/>
      <x:c r="AY789" s="9"/>
      <x:c r="AZ789" s="9" t="str">
        <x:v>3.0</x:v>
      </x:c>
      <x:c r="BA789" s="11" t="str">
        <x:f>HYPERLINK("https://www.mobygames.com/search/?q=Pyst","MobyGames")</x:f>
        <x:v>MobyGames</x:v>
      </x:c>
      <x:c r="BB789" s="9"/>
      <x:c r="BC789" s="9"/>
      <x:c r="BD789" s="9"/>
      <x:c r="BE789" s="11" t="str">
        <x:f>HYPERLINK("https://en.wikipedia.org/wiki/Pyst","Wikipedia")</x:f>
        <x:v>Wikipedia</x:v>
      </x:c>
      <x:c r="BF789" s="11" t="str">
        <x:f>HYPERLINK("https://backloggd.com/search/games/Pyst/","Backloggd")</x:f>
        <x:v>Backloggd</x:v>
      </x:c>
      <x:c r="BG789" s="9"/>
      <x:c r="BH789" s="9"/>
      <x:c r="BI789" s="12" t="str">
        <x:v>No</x:v>
      </x:c>
      <x:c r="BJ789" s="12" t="str"/>
      <x:c r="BK789" s="12" t="str">
        <x:v>No</x:v>
      </x:c>
      <x:c r="BL789" s="12" t="str"/>
      <x:c r="BM789" s="12" t="str"/>
      <x:c r="BN789" s="12" t="str"/>
      <x:c r="BO789" s="12" t="str"/>
      <x:c r="BP789" s="12" t="str"/>
      <x:c r="BQ789" s="12" t="str"/>
    </x:row>
    <x:row r="790">
      <x:c r="A790" s="9" t="str">
        <x:v>mac-84</x:v>
      </x:c>
      <x:c r="B790" s="9" t="str">
        <x:v>monty-python-and-the-quest-for-the-holy-grail</x:v>
      </x:c>
      <x:c r="C790" s="9" t="str">
        <x:v>Macintosh</x:v>
      </x:c>
      <x:c r="D790" s="9" t="str">
        <x:v>Monty Python &amp; the Quest for the Holy Grail</x:v>
      </x:c>
      <x:c r="E790" s="9" t="str"/>
      <x:c r="F790" s="9" t="str">
        <x:v>7th Level</x:v>
      </x:c>
      <x:c r="G790" s="9" t="str">
        <x:v>7th Level</x:v>
      </x:c>
      <x:c r="H790" s="9" t="n">
        <x:v>1996</x:v>
      </x:c>
      <x:c r="I790" s="9" t="str">
        <x:v>Yes</x:v>
      </x:c>
      <x:c r="J790" s="9" t="str">
        <x:v>No</x:v>
      </x:c>
      <x:c r="K790" s="9" t="str">
        <x:v>No</x:v>
      </x:c>
      <x:c r="L790" s="9" t="str">
        <x:v>No</x:v>
      </x:c>
      <x:c r="M790" s="9" t="str">
        <x:v>Comedy adventure</x:v>
      </x:c>
      <x:c r="N790" s="9" t="str">
        <x:v>Live-action + CG</x:v>
      </x:c>
      <x:c r="O790" s="9" t="n">
        <x:v>3</x:v>
      </x:c>
      <x:c r="P790" s="9" t="str">
        <x:v>Cutscenes only</x:v>
      </x:c>
      <x:c r="Q790" s="9" t="str">
        <x:v>Released</x:v>
      </x:c>
      <x:c r="R790" s="9" t="str">
        <x:v>Film license (Monty Python and the Holy Grail)</x:v>
      </x:c>
      <x:c r="S790" s="9" t="str">
        <x:v>Windows</x:v>
      </x:c>
      <x:c r="T790" s="9" t="str">
        <x:v>Monty Python (archive footage)</x:v>
      </x:c>
      <x:c r="U790" s="9" t="n">
        <x:v>1</x:v>
      </x:c>
      <x:c r="V790" s="9" t="str">
        <x:v>Yes</x:v>
      </x:c>
      <x:c r="W790" s="9" t="str">
        <x:v>Mouse</x:v>
      </x:c>
      <x:c r="X790" s="9" t="str">
        <x:v>Med–High</x:v>
      </x:c>
      <x:c r="Y790" s="9" t="str">
        <x:v>Clips from the 1975 film</x:v>
      </x:c>
      <x:c r="Z790" s="9" t="str">
        <x:v>3–5 hr</x:v>
      </x:c>
      <x:c r="AA790" s="9" t="str">
        <x:v>A Gilliam-style adventure that rewards you with clips from Monty Python and the Holy Grail.</x:v>
      </x:c>
      <x:c r="AB790" s="9" t="str">
        <x:v>None known</x:v>
      </x:c>
      <x:c r="AC790" s="9" t="str">
        <x:v>QuickTime video in a window, roughly 320x240 or smaller, ~15 fps (verify)</x:v>
      </x:c>
      <x:c r="AD790" s="9" t="str">
        <x:v>Easy–moderate</x:v>
      </x:c>
      <x:c r="AE790" s="9" t="str">
        <x:v>Single ending</x:v>
      </x:c>
      <x:c r="AF790" s="9" t="str">
        <x:v>7th Level's second Python game, after Complete Waste of Time.</x:v>
      </x:c>
      <x:c r="AG790" s="9" t="str">
        <x:v>Hybrid Mac/PC disc (verify)</x:v>
      </x:c>
      <x:c r="AH790" s="9" t="str">
        <x:v>No</x:v>
      </x:c>
      <x:c r="AI790" s="9" t="str">
        <x:v>Easy</x:v>
      </x:c>
      <x:c r="AJ790" s="9" t="str">
        <x:v>1990s Mac or an emulator such as SheepShaver/Basilisk II.</x:v>
      </x:c>
      <x:c r="AK790" s="9" t="str">
        <x:v>Mac release confirmed by Macintosh Repository. Film clips are short; kept as a cutscene title.</x:v>
      </x:c>
      <x:c r="AL790" s="10"/>
      <x:c r="AM790" s="10"/>
      <x:c r="AN790" s="10"/>
      <x:c r="AO790" s="9"/>
      <x:c r="AP790" s="11" t="str">
        <x:f>HYPERLINK("https://www.pricecharting.com/search-products?q=Monty+Python+%26+the+Quest+for+the+Holy+Grail+macintosh&amp;type=prices","PriceCharting")</x:f>
        <x:v>PriceCharting</x:v>
      </x:c>
      <x:c r="AQ790" s="9"/>
      <x:c r="AR790" s="9"/>
      <x:c r="AS790" s="9"/>
      <x:c r="AT790" s="9"/>
      <x:c r="AU790" s="9" t="str">
        <x:v>No market</x:v>
      </x:c>
      <x:c r="AV790" s="9" t="str">
        <x:v>Not listed on PriceCharting, whose Macintosh console has only about 110 items (searched 2026-10-25).</x:v>
      </x:c>
      <x:c r="AW790" s="9"/>
      <x:c r="AX790" s="9"/>
      <x:c r="AY790" s="9"/>
      <x:c r="AZ790" s="9"/>
      <x:c r="BA790" s="11" t="str">
        <x:f>HYPERLINK("https://www.mobygames.com/search/?q=Monty+Python+%26+the+Quest+for+the+Holy+Grail","MobyGames")</x:f>
        <x:v>MobyGames</x:v>
      </x:c>
      <x:c r="BB790" s="9" t="str">
        <x:v>80%</x:v>
      </x:c>
      <x:c r="BC790" s="9" t="str">
        <x:v>MacUser on Wikipedia, 1 review</x:v>
      </x:c>
      <x:c r="BD790" s="9" t="str">
        <x:f>HYPERLINK("https://en.wikipedia.org/wiki/Monty_Python_%26_the_Quest_for_the_Holy_Grail","Source")</x:f>
        <x:v>Source</x:v>
      </x:c>
      <x:c r="BE790" s="11" t="str">
        <x:f>HYPERLINK("https://en.wikipedia.org/wiki/Monty_Python_%26_the_Quest_for_the_Holy_Grail","Wikipedia")</x:f>
        <x:v>Wikipedia</x:v>
      </x:c>
      <x:c r="BF790" s="11" t="str">
        <x:f>HYPERLINK("https://backloggd.com/search/games/Monty%20Python%20%26%20the%20Quest%20for%20the%20Holy%20Grail/","Backloggd")</x:f>
        <x:v>Backloggd</x:v>
      </x:c>
      <x:c r="BG790" s="9"/>
      <x:c r="BH790" s="9"/>
      <x:c r="BI790" s="12" t="str">
        <x:v>No</x:v>
      </x:c>
      <x:c r="BJ790" s="12" t="str"/>
      <x:c r="BK790" s="12" t="str">
        <x:v>No</x:v>
      </x:c>
      <x:c r="BL790" s="12" t="str"/>
      <x:c r="BM790" s="12" t="str"/>
      <x:c r="BN790" s="12" t="str"/>
      <x:c r="BO790" s="12" t="str"/>
      <x:c r="BP790" s="12" t="str"/>
      <x:c r="BQ790" s="12" t="str"/>
    </x:row>
    <x:row r="791">
      <x:c r="A791" s="9" t="str">
        <x:v>mac-85</x:v>
      </x:c>
      <x:c r="B791" s="9" t="str">
        <x:v>quest-for-fame</x:v>
      </x:c>
      <x:c r="C791" s="9" t="str">
        <x:v>Macintosh</x:v>
      </x:c>
      <x:c r="D791" s="9" t="str">
        <x:v>Quest for Fame</x:v>
      </x:c>
      <x:c r="E791" s="9" t="str"/>
      <x:c r="F791" s="9" t="str">
        <x:v>Virtual Music Entertainment</x:v>
      </x:c>
      <x:c r="G791" s="9" t="str">
        <x:v>IBM (NA)</x:v>
      </x:c>
      <x:c r="H791" s="9" t="n">
        <x:v>1995</x:v>
      </x:c>
      <x:c r="I791" s="9" t="str">
        <x:v>Yes</x:v>
      </x:c>
      <x:c r="J791" s="9" t="str">
        <x:v>No</x:v>
      </x:c>
      <x:c r="K791" s="9" t="str">
        <x:v>No</x:v>
      </x:c>
      <x:c r="L791" s="9" t="str">
        <x:v>No</x:v>
      </x:c>
      <x:c r="M791" s="9" t="str">
        <x:v>Rhythm / music</x:v>
      </x:c>
      <x:c r="N791" s="9" t="str">
        <x:v>Live-action</x:v>
      </x:c>
      <x:c r="O791" s="9" t="n">
        <x:v>6</x:v>
      </x:c>
      <x:c r="P791" s="9" t="str">
        <x:v>Interactive movie</x:v>
      </x:c>
      <x:c r="Q791" s="9" t="str">
        <x:v>Released</x:v>
      </x:c>
      <x:c r="R791" s="9" t="str">
        <x:v>PC original</x:v>
      </x:c>
      <x:c r="S791" s="9" t="str">
        <x:v>Windows</x:v>
      </x:c>
      <x:c r="T791" s="9" t="str">
        <x:v>Aerosmith</x:v>
      </x:c>
      <x:c r="U791" s="9" t="n">
        <x:v>1</x:v>
      </x:c>
      <x:c r="V791" s="9" t="str">
        <x:v>Yes</x:v>
      </x:c>
      <x:c r="W791" s="9" t="str">
        <x:v>V-Pick guitar-pick controller (bundled; strum any guitar or tennis racket)</x:v>
      </x:c>
      <x:c r="X791" s="9" t="str">
        <x:v>HIGH</x:v>
      </x:c>
      <x:c r="Y791" s="9" t="str">
        <x:v>Aerosmith songs and performance footage</x:v>
      </x:c>
      <x:c r="Z791" s="9" t="str">
        <x:v>1–2 hr</x:v>
      </x:c>
      <x:c r="AA791" s="9" t="str">
        <x:v>A Guitar Hero ancestor: strum along with Aerosmith from garage to stadium in front of live-action crowds.</x:v>
      </x:c>
      <x:c r="AB791" s="9" t="str">
        <x:v>None known</x:v>
      </x:c>
      <x:c r="AC791" s="9" t="str">
        <x:v>QuickTime video in a window, roughly 320x240 or smaller, ~15 fps (verify)</x:v>
      </x:c>
      <x:c r="AD791" s="9" t="str">
        <x:v>Easy</x:v>
      </x:c>
      <x:c r="AE791" s="9" t="str">
        <x:v>Single path to the big gig</x:v>
      </x:c>
      <x:c r="AF791" s="9" t="str">
        <x:v>Virtual Music Entertainment grew out of Ensoniq-era music tech; the V-Pick was bundled.</x:v>
      </x:c>
      <x:c r="AG791" s="9" t="str">
        <x:v>Hybrid Mac/PC disc (verify); bundled with V-Pick</x:v>
      </x:c>
      <x:c r="AH791" s="9" t="str">
        <x:v>No</x:v>
      </x:c>
      <x:c r="AI791" s="9" t="str">
        <x:v>Easy</x:v>
      </x:c>
      <x:c r="AJ791" s="9" t="str">
        <x:v>1990s Mac or an emulator such as SheepShaver/Basilisk II.</x:v>
      </x:c>
      <x:c r="AK791" s="9" t="str">
        <x:v>Mac release confirmed by elisoftware listing (IBM, 1995, USA/Canada). Loose copy without V-Pick lacks the controller.</x:v>
      </x:c>
      <x:c r="AL791" s="10"/>
      <x:c r="AM791" s="10"/>
      <x:c r="AN791" s="10"/>
      <x:c r="AO791" s="9"/>
      <x:c r="AP791" s="11" t="str">
        <x:f>HYPERLINK("https://www.pricecharting.com/search-products?q=Quest+for+Fame+macintosh&amp;type=prices","PriceCharting")</x:f>
        <x:v>PriceCharting</x:v>
      </x:c>
      <x:c r="AQ791" s="9"/>
      <x:c r="AR791" s="9"/>
      <x:c r="AS791" s="9"/>
      <x:c r="AT791" s="9"/>
      <x:c r="AU791" s="9" t="str">
        <x:v>No market</x:v>
      </x:c>
      <x:c r="AV791" s="9" t="str">
        <x:v>Not listed on PriceCharting, whose Macintosh console has only about 110 items (searched 2026-10-25).</x:v>
      </x:c>
      <x:c r="AW791" s="9"/>
      <x:c r="AX791" s="9"/>
      <x:c r="AY791" s="9"/>
      <x:c r="AZ791" s="9"/>
      <x:c r="BA791" s="11" t="str">
        <x:f>HYPERLINK("https://www.mobygames.com/search/?q=Quest+for+Fame","MobyGames")</x:f>
        <x:v>MobyGames</x:v>
      </x:c>
      <x:c r="BB791" s="9"/>
      <x:c r="BC791" s="9"/>
      <x:c r="BD791" s="9"/>
      <x:c r="BE791" s="11" t="str">
        <x:f>HYPERLINK("https://en.wikipedia.org/wiki/Quest_for_Fame","Wikipedia")</x:f>
        <x:v>Wikipedia</x:v>
      </x:c>
      <x:c r="BF791" s="11" t="str">
        <x:f>HYPERLINK("https://backloggd.com/search/games/Quest%20for%20Fame/","Backloggd")</x:f>
        <x:v>Backloggd</x:v>
      </x:c>
      <x:c r="BG791" s="9"/>
      <x:c r="BH791" s="9"/>
      <x:c r="BI791" s="12" t="str">
        <x:v>No</x:v>
      </x:c>
      <x:c r="BJ791" s="12" t="str"/>
      <x:c r="BK791" s="12" t="str">
        <x:v>No</x:v>
      </x:c>
      <x:c r="BL791" s="12" t="str"/>
      <x:c r="BM791" s="12" t="str"/>
      <x:c r="BN791" s="12" t="str"/>
      <x:c r="BO791" s="12" t="str"/>
      <x:c r="BP791" s="12" t="str"/>
      <x:c r="BQ791" s="12" t="str"/>
    </x:row>
    <x:row r="792">
      <x:c r="A792" s="9" t="str">
        <x:v>mac-86</x:v>
      </x:c>
      <x:c r="B792" s="9" t="str">
        <x:v>devo-presents-adventures-of-the-smart-patrol</x:v>
      </x:c>
      <x:c r="C792" s="9" t="str">
        <x:v>Macintosh</x:v>
      </x:c>
      <x:c r="D792" s="9" t="str">
        <x:v>Devo Presents Adventures of the Smart Patrol</x:v>
      </x:c>
      <x:c r="E792" s="9" t="str"/>
      <x:c r="F792" s="9" t="str">
        <x:v>Inscape</x:v>
      </x:c>
      <x:c r="G792" s="9" t="str">
        <x:v>Inscape</x:v>
      </x:c>
      <x:c r="H792" s="9" t="n">
        <x:v>1996</x:v>
      </x:c>
      <x:c r="I792" s="9" t="str">
        <x:v>Yes</x:v>
      </x:c>
      <x:c r="J792" s="9" t="str">
        <x:v>No</x:v>
      </x:c>
      <x:c r="K792" s="9" t="str">
        <x:v>No</x:v>
      </x:c>
      <x:c r="L792" s="9" t="str">
        <x:v>No</x:v>
      </x:c>
      <x:c r="M792" s="9" t="str">
        <x:v>Action adventure</x:v>
      </x:c>
      <x:c r="N792" s="9" t="str">
        <x:v>Live-action + CG</x:v>
      </x:c>
      <x:c r="O792" s="9" t="n">
        <x:v>3</x:v>
      </x:c>
      <x:c r="P792" s="9" t="str">
        <x:v>Cutscenes only</x:v>
      </x:c>
      <x:c r="Q792" s="9" t="str">
        <x:v>Released</x:v>
      </x:c>
      <x:c r="R792" s="9" t="str">
        <x:v>PC original</x:v>
      </x:c>
      <x:c r="S792" s="9" t="str">
        <x:v>Windows</x:v>
      </x:c>
      <x:c r="T792" s="9" t="str">
        <x:v>Devo</x:v>
      </x:c>
      <x:c r="U792" s="9" t="n">
        <x:v>1</x:v>
      </x:c>
      <x:c r="V792" s="9" t="str">
        <x:v>Yes</x:v>
      </x:c>
      <x:c r="W792" s="9" t="str">
        <x:v>Mouse</x:v>
      </x:c>
      <x:c r="X792" s="9" t="str">
        <x:v>HIGH</x:v>
      </x:c>
      <x:c r="Y792" s="9" t="str">
        <x:v>Devo music and video</x:v>
      </x:c>
      <x:c r="Z792" s="9" t="str">
        <x:v>4–6 hr</x:v>
      </x:c>
      <x:c r="AA792" s="9" t="str">
        <x:v>Devo themselves appear in video to guide you through a devolved world, scored with their music.</x:v>
      </x:c>
      <x:c r="AB792" s="9" t="str">
        <x:v>None known</x:v>
      </x:c>
      <x:c r="AC792" s="9" t="str">
        <x:v>QuickTime video in a window, roughly 320x240 or smaller, ~15 fps (verify)</x:v>
      </x:c>
      <x:c r="AD792" s="9" t="str">
        <x:v>Moderate</x:v>
      </x:c>
      <x:c r="AE792" s="9" t="str">
        <x:v>Single ending (verify)</x:v>
      </x:c>
      <x:c r="AF792" s="9" t="str">
        <x:v>Came with a companion soundtrack album of the same name.</x:v>
      </x:c>
      <x:c r="AG792" s="9" t="str">
        <x:v>Hybrid Mac/PC disc (verify)</x:v>
      </x:c>
      <x:c r="AH792" s="9" t="str">
        <x:v>No</x:v>
      </x:c>
      <x:c r="AI792" s="9" t="str">
        <x:v>Easy</x:v>
      </x:c>
      <x:c r="AJ792" s="9" t="str">
        <x:v>1990s Mac or an emulator such as SheepShaver/Basilisk II.</x:v>
      </x:c>
      <x:c r="AK792" s="9" t="str">
        <x:v>Kept for the Devo footage. Mac version from period listings (verify).</x:v>
      </x:c>
      <x:c r="AL792" s="10"/>
      <x:c r="AM792" s="10"/>
      <x:c r="AN792" s="10"/>
      <x:c r="AO792" s="9"/>
      <x:c r="AP792" s="11" t="str">
        <x:f>HYPERLINK("https://www.pricecharting.com/search-products?q=Devo+Presents+Adventures+of+the+Smart+Patrol+macintosh&amp;type=prices","PriceCharting")</x:f>
        <x:v>PriceCharting</x:v>
      </x:c>
      <x:c r="AQ792" s="9"/>
      <x:c r="AR792" s="9"/>
      <x:c r="AS792" s="9"/>
      <x:c r="AT792" s="9"/>
      <x:c r="AU792" s="9" t="str">
        <x:v>No market</x:v>
      </x:c>
      <x:c r="AV792" s="9" t="str">
        <x:v>Not listed on PriceCharting, whose Macintosh console has only about 110 items (searched 2026-10-25).</x:v>
      </x:c>
      <x:c r="AW792" s="9"/>
      <x:c r="AX792" s="9"/>
      <x:c r="AY792" s="9"/>
      <x:c r="AZ792" s="9"/>
      <x:c r="BA792" s="11" t="str">
        <x:f>HYPERLINK("https://www.mobygames.com/game/4760","MobyGames")</x:f>
        <x:v>MobyGames</x:v>
      </x:c>
      <x:c r="BB792" s="9"/>
      <x:c r="BC792" s="9"/>
      <x:c r="BD792" s="9"/>
      <x:c r="BE792" s="11" t="str">
        <x:f>HYPERLINK("https://en.wikipedia.org/wiki/Devo_Presents_Adventures_of_the_Smart_Patrol_(video_game)","Wikipedia")</x:f>
        <x:v>Wikipedia</x:v>
      </x:c>
      <x:c r="BF792" s="11" t="str">
        <x:f>HYPERLINK("https://backloggd.com/search/games/Devo%20Presents%20Adventures%20of%20the%20Smart%20Patrol/","Backloggd")</x:f>
        <x:v>Backloggd</x:v>
      </x:c>
      <x:c r="BG792" s="9"/>
      <x:c r="BH792" s="9"/>
      <x:c r="BI792" s="12" t="str">
        <x:v>No</x:v>
      </x:c>
      <x:c r="BJ792" s="12" t="str"/>
      <x:c r="BK792" s="12" t="str">
        <x:v>No</x:v>
      </x:c>
      <x:c r="BL792" s="12" t="str"/>
      <x:c r="BM792" s="12" t="str"/>
      <x:c r="BN792" s="12" t="str"/>
      <x:c r="BO792" s="12" t="str"/>
      <x:c r="BP792" s="12" t="str"/>
      <x:c r="BQ792" s="12" t="str"/>
    </x:row>
    <x:row r="793">
      <x:c r="A793" s="9" t="str">
        <x:v>mac-87</x:v>
      </x:c>
      <x:c r="B793" s="9" t="str">
        <x:v>mummy-tomb-of-the-pharaoh</x:v>
      </x:c>
      <x:c r="C793" s="9" t="str">
        <x:v>Macintosh</x:v>
      </x:c>
      <x:c r="D793" s="9" t="str">
        <x:v>Mummy: Tomb of the Pharaoh</x:v>
      </x:c>
      <x:c r="E793" s="9" t="str"/>
      <x:c r="F793" s="9" t="str">
        <x:v>Amazing Media</x:v>
      </x:c>
      <x:c r="G793" s="9" t="str">
        <x:v>Interplay Productions / MacPlay</x:v>
      </x:c>
      <x:c r="H793" s="9" t="n">
        <x:v>1996</x:v>
      </x:c>
      <x:c r="I793" s="9" t="str">
        <x:v>Yes</x:v>
      </x:c>
      <x:c r="J793" s="9" t="str">
        <x:v>No</x:v>
      </x:c>
      <x:c r="K793" s="9" t="str">
        <x:v>No</x:v>
      </x:c>
      <x:c r="L793" s="9" t="str">
        <x:v>No</x:v>
      </x:c>
      <x:c r="M793" s="9" t="str">
        <x:v>First-person adventure</x:v>
      </x:c>
      <x:c r="N793" s="9" t="str">
        <x:v>Live-action + pre-rendered CG</x:v>
      </x:c>
      <x:c r="O793" s="9" t="n">
        <x:v>5</x:v>
      </x:c>
      <x:c r="P793" s="9" t="str">
        <x:v>FMV adventure</x:v>
      </x:c>
      <x:c r="Q793" s="9" t="str">
        <x:v>Released</x:v>
      </x:c>
      <x:c r="R793" s="9" t="str">
        <x:v>PC original</x:v>
      </x:c>
      <x:c r="S793" s="9" t="str">
        <x:v>Windows</x:v>
      </x:c>
      <x:c r="T793" s="9" t="str">
        <x:v>Malcolm McDowell (Stuart Davenport)</x:v>
      </x:c>
      <x:c r="U793" s="9" t="n">
        <x:v>1</x:v>
      </x:c>
      <x:c r="V793" s="9" t="str">
        <x:v>Yes</x:v>
      </x:c>
      <x:c r="W793" s="9" t="str">
        <x:v>Mouse</x:v>
      </x:c>
      <x:c r="X793" s="9" t="str">
        <x:v>Low</x:v>
      </x:c>
      <x:c r="Y793" s="9" t="str"/>
      <x:c r="Z793" s="9" t="str">
        <x:v>4–8 hr</x:v>
      </x:c>
      <x:c r="AA793" s="9" t="str">
        <x:v>Explore an Egyptian tomb in a Myst-style adventure with live-action characters.</x:v>
      </x:c>
      <x:c r="AB793" s="9" t="str">
        <x:v>None known</x:v>
      </x:c>
      <x:c r="AC793" s="9" t="str">
        <x:v>QuickTime video in a window, roughly 320x240 or smaller, ~15 fps (verify)</x:v>
      </x:c>
      <x:c r="AD793" s="9" t="str">
        <x:v>Unknown — verify</x:v>
      </x:c>
      <x:c r="AE793" s="9" t="str">
        <x:v>Unknown — verify</x:v>
      </x:c>
      <x:c r="AF793" s="9" t="str"/>
      <x:c r="AG793" s="9" t="str">
        <x:v>Hybrid Mac/PC disc (verify)</x:v>
      </x:c>
      <x:c r="AH793" s="9" t="str">
        <x:v>No</x:v>
      </x:c>
      <x:c r="AI793" s="9" t="str">
        <x:v>Easy</x:v>
      </x:c>
      <x:c r="AJ793" s="9" t="str">
        <x:v>1990s Mac or an emulator such as SheepShaver/Basilisk II.</x:v>
      </x:c>
      <x:c r="AK793" s="9" t="str">
        <x:v>Mac release confirmed by Macintosh Repository and a Windows/Mac retail listing (likely hybrid). Developer/publisher and FMV amount not confirmed (Wikipedia fetch blocked).</x:v>
      </x:c>
      <x:c r="AL793" s="10"/>
      <x:c r="AM793" s="10"/>
      <x:c r="AN793" s="10"/>
      <x:c r="AO793" s="9"/>
      <x:c r="AP793" s="11" t="str">
        <x:f>HYPERLINK("https://www.pricecharting.com/search-products?q=Mummy%3A+Tomb+of+the+Pharaoh+macintosh&amp;type=prices","PriceCharting")</x:f>
        <x:v>PriceCharting</x:v>
      </x:c>
      <x:c r="AQ793" s="9"/>
      <x:c r="AR793" s="9"/>
      <x:c r="AS793" s="9"/>
      <x:c r="AT793" s="9"/>
      <x:c r="AU793" s="9" t="str">
        <x:v>No market</x:v>
      </x:c>
      <x:c r="AV793" s="9" t="str">
        <x:v>Not listed on PriceCharting, whose Macintosh console has only about 110 items (searched 2026-10-25).</x:v>
      </x:c>
      <x:c r="AW793" s="9"/>
      <x:c r="AX793" s="9"/>
      <x:c r="AY793" s="9"/>
      <x:c r="AZ793" s="9" t="str">
        <x:v>4.5</x:v>
      </x:c>
      <x:c r="BA793" s="11" t="str">
        <x:f>HYPERLINK("https://www.mobygames.com/game/mummy-tomb-of-the-pharaoh","MobyGames")</x:f>
        <x:v>MobyGames</x:v>
      </x:c>
      <x:c r="BB793" s="9" t="str">
        <x:v>40%</x:v>
      </x:c>
      <x:c r="BC793" s="9" t="str">
        <x:v>average of 1 review on Wikipedia (NGen)</x:v>
      </x:c>
      <x:c r="BD793" s="9" t="str">
        <x:f>HYPERLINK("https://en.wikipedia.org/wiki/Mummy%3A_Tomb_of_the_Pharaoh","Source")</x:f>
        <x:v>Source</x:v>
      </x:c>
      <x:c r="BE793" s="11" t="str">
        <x:f>HYPERLINK("https://en.wikipedia.org/wiki/Mummy:_Tomb_of_the_Pharaoh","Wikipedia")</x:f>
        <x:v>Wikipedia</x:v>
      </x:c>
      <x:c r="BF793" s="11" t="str">
        <x:f>HYPERLINK("https://backloggd.com/search/games/Mummy%3A%20Tomb%20of%20the%20Pharaoh/","Backloggd")</x:f>
        <x:v>Backloggd</x:v>
      </x:c>
      <x:c r="BG793" s="9"/>
      <x:c r="BH793" s="9"/>
      <x:c r="BI793" s="12" t="str">
        <x:v>No</x:v>
      </x:c>
      <x:c r="BJ793" s="12" t="str"/>
      <x:c r="BK793" s="12" t="str">
        <x:v>No</x:v>
      </x:c>
      <x:c r="BL793" s="12" t="str"/>
      <x:c r="BM793" s="12" t="str"/>
      <x:c r="BN793" s="12" t="str"/>
      <x:c r="BO793" s="12" t="str"/>
      <x:c r="BP793" s="12" t="str"/>
      <x:c r="BQ793" s="12" t="str"/>
    </x:row>
    <x:row r="794">
      <x:c r="A794" s="9" t="str">
        <x:v>mac-88</x:v>
      </x:c>
      <x:c r="B794" s="9" t="str">
        <x:v>angel-devoid-face-of-the-enemy</x:v>
      </x:c>
      <x:c r="C794" s="9" t="str">
        <x:v>Macintosh</x:v>
      </x:c>
      <x:c r="D794" s="9" t="str">
        <x:v>Angel Devoid: Face of the Enemy</x:v>
      </x:c>
      <x:c r="E794" s="9" t="str">
        <x:v>DeathMask (JP PS1/Saturn)</x:v>
      </x:c>
      <x:c r="F794" s="9" t="str">
        <x:v>Electric Dreams Inc.</x:v>
      </x:c>
      <x:c r="G794" s="9" t="str">
        <x:v>Mindscape</x:v>
      </x:c>
      <x:c r="H794" s="9" t="n">
        <x:v>1996</x:v>
      </x:c>
      <x:c r="I794" s="9" t="str">
        <x:v>Yes</x:v>
      </x:c>
      <x:c r="J794" s="9" t="str">
        <x:v>No</x:v>
      </x:c>
      <x:c r="K794" s="9" t="str">
        <x:v>No</x:v>
      </x:c>
      <x:c r="L794" s="9" t="str">
        <x:v>No</x:v>
      </x:c>
      <x:c r="M794" s="9" t="str">
        <x:v>Cyberpunk adventure</x:v>
      </x:c>
      <x:c r="N794" s="9" t="str">
        <x:v>Live-action + pre-rendered CG</x:v>
      </x:c>
      <x:c r="O794" s="9" t="n">
        <x:v>6</x:v>
      </x:c>
      <x:c r="P794" s="9" t="str">
        <x:v>FMV adventure</x:v>
      </x:c>
      <x:c r="Q794" s="9" t="str">
        <x:v>Released</x:v>
      </x:c>
      <x:c r="R794" s="9" t="str">
        <x:v>PC original</x:v>
      </x:c>
      <x:c r="S794" s="9" t="str">
        <x:v>DOS, PlayStation (JP), Saturn (JP)</x:v>
      </x:c>
      <x:c r="T794" s="9" t="str">
        <x:v>Joseph Pilato, Eric Anderson</x:v>
      </x:c>
      <x:c r="U794" s="9" t="n">
        <x:v>1</x:v>
      </x:c>
      <x:c r="V794" s="9" t="str">
        <x:v>Yes</x:v>
      </x:c>
      <x:c r="W794" s="9" t="str">
        <x:v>Mouse</x:v>
      </x:c>
      <x:c r="X794" s="9" t="str">
        <x:v>Low</x:v>
      </x:c>
      <x:c r="Y794" s="9" t="str"/>
      <x:c r="Z794" s="9" t="str">
        <x:v>5–8 hr</x:v>
      </x:c>
      <x:c r="AA794" s="9" t="str">
        <x:v>A Blade Runner-flavored cop wearing a killer's face, with live actors composited over CG streets.</x:v>
      </x:c>
      <x:c r="AB794" s="9" t="str">
        <x:v>None known</x:v>
      </x:c>
      <x:c r="AC794" s="9" t="str">
        <x:v>QuickTime video in a window, roughly 320x240 or smaller, ~15 fps (verify)</x:v>
      </x:c>
      <x:c r="AD794" s="9" t="str">
        <x:v>Moderate; you can die</x:v>
      </x:c>
      <x:c r="AE794" s="9" t="str">
        <x:v>Single ending (verify)</x:v>
      </x:c>
      <x:c r="AF794" s="9" t="str">
        <x:v>Released in Japan as DeathMask on PlayStation and Saturn.</x:v>
      </x:c>
      <x:c r="AG794" s="9" t="str">
        <x:v>Hybrid Mac/PC disc (verify)</x:v>
      </x:c>
      <x:c r="AH794" s="9" t="str">
        <x:v>No</x:v>
      </x:c>
      <x:c r="AI794" s="9" t="str">
        <x:v>Easy</x:v>
      </x:c>
      <x:c r="AJ794" s="9" t="str">
        <x:v>1990s Mac or an emulator such as SheepShaver/Basilisk II.</x:v>
      </x:c>
      <x:c r="AK794" s="9" t="str">
        <x:v>Mac version confirmed by Wikipedia and Macintosh Repository.</x:v>
      </x:c>
      <x:c r="AL794" s="10"/>
      <x:c r="AM794" s="10"/>
      <x:c r="AN794" s="10"/>
      <x:c r="AO794" s="9"/>
      <x:c r="AP794" s="11" t="str">
        <x:f>HYPERLINK("https://www.pricecharting.com/search-products?q=Angel+Devoid%3A+Face+of+the+Enemy+macintosh&amp;type=prices","PriceCharting")</x:f>
        <x:v>PriceCharting</x:v>
      </x:c>
      <x:c r="AQ794" s="9"/>
      <x:c r="AR794" s="9"/>
      <x:c r="AS794" s="9"/>
      <x:c r="AT794" s="9"/>
      <x:c r="AU794" s="9" t="str">
        <x:v>No market</x:v>
      </x:c>
      <x:c r="AV794" s="9" t="str">
        <x:v>Not listed on PriceCharting, whose Macintosh console has only about 110 items (searched 2026-10-25).</x:v>
      </x:c>
      <x:c r="AW794" s="9"/>
      <x:c r="AX794" s="9"/>
      <x:c r="AY794" s="9"/>
      <x:c r="AZ794" s="9"/>
      <x:c r="BA794" s="11" t="str">
        <x:f>HYPERLINK("https://www.mobygames.com/search/?q=Angel+Devoid%3A+Face+of+the+Enemy","MobyGames")</x:f>
        <x:v>MobyGames</x:v>
      </x:c>
      <x:c r="BB794" s="9"/>
      <x:c r="BC794" s="9"/>
      <x:c r="BD794" s="9"/>
      <x:c r="BE794" s="11" t="str">
        <x:f>HYPERLINK("https://en.wikipedia.org/wiki/Angel_Devoid:_Face_of_the_Enemy","Wikipedia")</x:f>
        <x:v>Wikipedia</x:v>
      </x:c>
      <x:c r="BF794" s="11" t="str">
        <x:f>HYPERLINK("https://backloggd.com/search/games/Angel%20Devoid%3A%20Face%20of%20the%20Enemy/","Backloggd")</x:f>
        <x:v>Backloggd</x:v>
      </x:c>
      <x:c r="BG794" s="9"/>
      <x:c r="BH794" s="9"/>
      <x:c r="BI794" s="12" t="str">
        <x:v>No</x:v>
      </x:c>
      <x:c r="BJ794" s="12" t="str"/>
      <x:c r="BK794" s="12" t="str">
        <x:v>No</x:v>
      </x:c>
      <x:c r="BL794" s="12" t="str"/>
      <x:c r="BM794" s="12" t="str"/>
      <x:c r="BN794" s="12" t="str"/>
      <x:c r="BO794" s="12" t="str"/>
      <x:c r="BP794" s="12" t="str"/>
      <x:c r="BQ794" s="12" t="str"/>
    </x:row>
    <x:row r="795">
      <x:c r="A795" s="9" t="str">
        <x:v>cd32-1</x:v>
      </x:c>
      <x:c r="B795" s="9" t="str">
        <x:v>microcosm</x:v>
      </x:c>
      <x:c r="C795" s="9" t="str">
        <x:v>Amiga CD32</x:v>
      </x:c>
      <x:c r="D795" s="9" t="str">
        <x:v>Microcosm</x:v>
      </x:c>
      <x:c r="E795" s="9" t="str"/>
      <x:c r="F795" s="9" t="str">
        <x:v>Psygnosis</x:v>
      </x:c>
      <x:c r="G795" s="9" t="str">
        <x:v>Psygnosis</x:v>
      </x:c>
      <x:c r="H795" s="9" t="n">
        <x:v>1994</x:v>
      </x:c>
      <x:c r="I795" s="9" t="str">
        <x:v>No</x:v>
      </x:c>
      <x:c r="J795" s="9" t="str">
        <x:v>No</x:v>
      </x:c>
      <x:c r="K795" s="9" t="str">
        <x:v>Yes</x:v>
      </x:c>
      <x:c r="L795" s="9" t="str">
        <x:v>No</x:v>
      </x:c>
      <x:c r="M795" s="9" t="str">
        <x:v>Rail shooter</x:v>
      </x:c>
      <x:c r="N795" s="9" t="str">
        <x:v>Pre-rendered CG</x:v>
      </x:c>
      <x:c r="O795" s="9" t="n">
        <x:v>9</x:v>
      </x:c>
      <x:c r="P795" s="9" t="str">
        <x:v>Pre-rendered CG</x:v>
      </x:c>
      <x:c r="Q795" s="9" t="str">
        <x:v>Released</x:v>
      </x:c>
      <x:c r="R795" s="9" t="str">
        <x:v>Original production (Psygnosis; FM Towns first, 1993)</x:v>
      </x:c>
      <x:c r="S795" s="9" t="str">
        <x:v>FM Towns, Sega CD, 3DO, DOS, CD-i (prototype)</x:v>
      </x:c>
      <x:c r="T795" s="9" t="str">
        <x:v>Rick Wakeman composed the soundtrack (verify for CD32 mix)</x:v>
      </x:c>
      <x:c r="U795" s="9" t="n">
        <x:v>1</x:v>
      </x:c>
      <x:c r="V795" s="9" t="str">
        <x:v>No</x:v>
      </x:c>
      <x:c r="W795" s="9" t="str">
        <x:v>CD32 joypad; runs on CD32 (and Amiga CD1200/A1200 with CD32 emulation). No FMV module needed.</x:v>
      </x:c>
      <x:c r="X795" s="9" t="str">
        <x:v>Low</x:v>
      </x:c>
      <x:c r="Y795" s="9" t="str"/>
      <x:c r="Z795" s="9" t="str">
        <x:v>1–2 hr</x:v>
      </x:c>
      <x:c r="AA795" s="9" t="str">
        <x:v>Psygnosis's showcase rail shooter on the one console Commodore built to beat the 3DO: sprite ship over a streamed CG body-interior.</x:v>
      </x:c>
      <x:c r="AB795" s="9" t="str">
        <x:v>None known</x:v>
      </x:c>
      <x:c r="AC795" s="9" t="str">
        <x:v>Pre-rendered CG backgrounds streamed from CD behind a sprite ship, plus a long rendered intro; reduced window and colours vs 3DO/FM Towns — verify</x:v>
      </x:c>
      <x:c r="AD795" s="9" t="str">
        <x:v>Hard; ship is hard to read against busy video</x:v>
      </x:c>
      <x:c r="AE795" s="9" t="str">
        <x:v>Linear; one ending</x:v>
      </x:c>
      <x:c r="AF795" s="9" t="str">
        <x:v>Promoted as a CD32 exclusive among Amiga formats; the intro was rendered on SGI workstations and is one of the longest CG intros of its day (verify).</x:v>
      </x:c>
      <x:c r="AG795" s="9" t="str">
        <x:v>Standard PAL jewel/long box; also sold in some CD32 bundles (verify)</x:v>
      </x:c>
      <x:c r="AH795" s="9" t="str">
        <x:v>No</x:v>
      </x:c>
      <x:c r="AI795" s="9" t="str">
        <x:v>Easy</x:v>
      </x:c>
      <x:c r="AJ795" s="9" t="str">
        <x:v>Original CD32 (region-free discs) or FS-UAE/WinUAE CD32 emulation; also MiSTer Minimig/AmigaVision CD32 setups.</x:v>
      </x:c>
      <x:c r="AK795" s="9" t="str">
        <x:v>Wikipedia CD32 list marks it CD32 exclusive (among Amiga formats), CD Audio, FMV. MobyGames CD32 score not visible from the cloud. na=false: no confirmed Canadian/US CD32 box (verify).</x:v>
      </x:c>
      <x:c r="AL795" s="10" t="n">
        <x:v>13.51</x:v>
      </x:c>
      <x:c r="AM795" s="10" t="n">
        <x:v>40.32</x:v>
      </x:c>
      <x:c r="AN795" s="10" t="n">
        <x:v>81</x:v>
      </x:c>
      <x:c r="AO795" s="9" t="str">
        <x:v>2026-10-24</x:v>
      </x:c>
      <x:c r="AP795" s="11" t="str">
        <x:f>HYPERLINK("https://www.pricecharting.com/game/pal-amiga-cd32/microcosm","PriceCharting")</x:f>
        <x:v>PriceCharting</x:v>
      </x:c>
      <x:c r="AQ795" s="9"/>
      <x:c r="AR795" s="9"/>
      <x:c r="AS795" s="9"/>
      <x:c r="AT795" s="9"/>
      <x:c r="AU795" s="9"/>
      <x:c r="AV795" s="9"/>
      <x:c r="AW795" s="9"/>
      <x:c r="AX795" s="9"/>
      <x:c r="AY795" s="9" t="str">
        <x:v>73%</x:v>
      </x:c>
      <x:c r="AZ795" s="9" t="str">
        <x:v>2.8</x:v>
      </x:c>
      <x:c r="BA795" s="11" t="str">
        <x:f>HYPERLINK("https://www.mobygames.com/game/amiga-cd32/microcosm","MobyGames")</x:f>
        <x:v>MobyGames</x:v>
      </x:c>
      <x:c r="BB795" s="9" t="str">
        <x:v>76%</x:v>
      </x:c>
      <x:c r="BC795" s="9" t="str">
        <x:v>average of 4 reviews on Wikipedia (AmFormat, AmPower, CU Amiga, Power Unlimited)</x:v>
      </x:c>
      <x:c r="BD795" s="9" t="str">
        <x:f>HYPERLINK("https://en.wikipedia.org/wiki/Microcosm_%28video_game%29","Source")</x:f>
        <x:v>Source</x:v>
      </x:c>
      <x:c r="BE795" s="11" t="str">
        <x:f>HYPERLINK("https://en.wikipedia.org/wiki/Microcosm_(video_game)","Wikipedia")</x:f>
        <x:v>Wikipedia</x:v>
      </x:c>
      <x:c r="BF795" s="11" t="str">
        <x:f>HYPERLINK("https://backloggd.com/search/games/Microcosm/","Backloggd")</x:f>
        <x:v>Backloggd</x:v>
      </x:c>
      <x:c r="BG795" s="9"/>
      <x:c r="BH795" s="9"/>
      <x:c r="BI795" s="12" t="str">
        <x:v>No</x:v>
      </x:c>
      <x:c r="BJ795" s="12" t="str"/>
      <x:c r="BK795" s="12" t="str">
        <x:v>No</x:v>
      </x:c>
      <x:c r="BL795" s="12" t="str"/>
      <x:c r="BM795" s="12" t="str"/>
      <x:c r="BN795" s="12" t="str"/>
      <x:c r="BO795" s="12" t="str"/>
      <x:c r="BP795" s="12" t="str"/>
      <x:c r="BQ795" s="12" t="str"/>
    </x:row>
    <x:row r="796">
      <x:c r="A796" s="9" t="str">
        <x:v>cd32-2</x:v>
      </x:c>
      <x:c r="B796" s="9" t="str">
        <x:v>super-stardust</x:v>
      </x:c>
      <x:c r="C796" s="9" t="str">
        <x:v>Amiga CD32</x:v>
      </x:c>
      <x:c r="D796" s="9" t="str">
        <x:v>Super Stardust</x:v>
      </x:c>
      <x:c r="E796" s="9" t="str"/>
      <x:c r="F796" s="9" t="str">
        <x:v>Bloodhouse</x:v>
      </x:c>
      <x:c r="G796" s="9" t="str">
        <x:v>Team17</x:v>
      </x:c>
      <x:c r="H796" s="9" t="n">
        <x:v>1995</x:v>
      </x:c>
      <x:c r="I796" s="9" t="str">
        <x:v>No</x:v>
      </x:c>
      <x:c r="J796" s="9" t="str">
        <x:v>No</x:v>
      </x:c>
      <x:c r="K796" s="9" t="str">
        <x:v>Yes</x:v>
      </x:c>
      <x:c r="L796" s="9" t="str">
        <x:v>No</x:v>
      </x:c>
      <x:c r="M796" s="9" t="str">
        <x:v>Shoot 'em up (Asteroids-style)</x:v>
      </x:c>
      <x:c r="N796" s="9" t="str">
        <x:v>Pre-rendered CG</x:v>
      </x:c>
      <x:c r="O796" s="9" t="n">
        <x:v>3</x:v>
      </x:c>
      <x:c r="P796" s="9" t="str">
        <x:v>Cutscenes only</x:v>
      </x:c>
      <x:c r="Q796" s="9" t="str">
        <x:v>Released</x:v>
      </x:c>
      <x:c r="R796" s="9" t="str">
        <x:v>Original production (sequel to Stardust; AGA Amiga version same year)</x:v>
      </x:c>
      <x:c r="S796" s="9" t="str">
        <x:v>Amiga AGA (floppy); later Super Stardust HD/Delta on PS3/PSP/Vita (different games)</x:v>
      </x:c>
      <x:c r="T796" s="9" t="str">
        <x:v>—</x:v>
      </x:c>
      <x:c r="U796" s="9" t="n">
        <x:v>1</x:v>
      </x:c>
      <x:c r="V796" s="9" t="str">
        <x:v>No</x:v>
      </x:c>
      <x:c r="W796" s="9" t="str">
        <x:v>CD32 joypad; runs on CD32 (and Amiga CD1200/A1200 with CD32 emulation). No FMV module needed.</x:v>
      </x:c>
      <x:c r="X796" s="9" t="str">
        <x:v>Low</x:v>
      </x:c>
      <x:c r="Y796" s="9" t="str"/>
      <x:c r="Z796" s="9" t="str">
        <x:v>1–2 hr</x:v>
      </x:c>
      <x:c r="AA796" s="9" t="str">
        <x:v>Housemarque's founders before Housemarque: a CD32 shooter whose rendered tunnel runs and intro/outro movies show off the hardware.</x:v>
      </x:c>
      <x:c r="AB796" s="9" t="str">
        <x:v>Cheat codes reported for the AGA version (verify for CD32)</x:v>
      </x:c>
      <x:c r="AC796" s="9" t="str">
        <x:v>Rendered intro, between-world animations and ending streamed from CD; tunnel sections use pre-rendered animation — verify</x:v>
      </x:c>
      <x:c r="AD796" s="9" t="str">
        <x:v>Hard in later worlds</x:v>
      </x:c>
      <x:c r="AE796" s="9" t="str">
        <x:v>One ending; scored</x:v>
      </x:c>
      <x:c r="AF796" s="9" t="str">
        <x:v>Bloodhouse merged with Terramarque in 1995 to form Housemarque, which later made Super Stardust HD.</x:v>
      </x:c>
      <x:c r="AG796" s="9" t="str"/>
      <x:c r="AH796" s="9" t="str">
        <x:v>No</x:v>
      </x:c>
      <x:c r="AI796" s="9" t="str">
        <x:v>Expensive</x:v>
      </x:c>
      <x:c r="AJ796" s="9" t="str">
        <x:v>Original CD32 (region-free discs) or FS-UAE/WinUAE CD32 emulation; also MiSTer Minimig/AmigaVision CD32 setups.</x:v>
      </x:c>
      <x:c r="AK796" s="9" t="str">
        <x:v>Wikipedia marks CD Audio + FMV. Loose PAL copies run about $160, hence Expensive. na=false (verify).</x:v>
      </x:c>
      <x:c r="AL796" s="10" t="n">
        <x:v>164.11</x:v>
      </x:c>
      <x:c r="AM796" s="10" t="n">
        <x:v>178.08</x:v>
      </x:c>
      <x:c r="AN796" s="10" t="n">
        <x:v>356</x:v>
      </x:c>
      <x:c r="AO796" s="9" t="str">
        <x:v>2026-10-24</x:v>
      </x:c>
      <x:c r="AP796" s="11" t="str">
        <x:f>HYPERLINK("https://www.pricecharting.com/game/pal-amiga-cd32/super-stardust","PriceCharting")</x:f>
        <x:v>PriceCharting</x:v>
      </x:c>
      <x:c r="AQ796" s="9"/>
      <x:c r="AR796" s="9"/>
      <x:c r="AS796" s="9"/>
      <x:c r="AT796" s="9"/>
      <x:c r="AU796" s="9"/>
      <x:c r="AV796" s="9"/>
      <x:c r="AW796" s="9"/>
      <x:c r="AX796" s="9"/>
      <x:c r="AY796" s="9"/>
      <x:c r="AZ796" s="9"/>
      <x:c r="BA796" s="11" t="str">
        <x:f>HYPERLINK("https://www.mobygames.com/search/?q=Super+Stardust","MobyGames")</x:f>
        <x:v>MobyGames</x:v>
      </x:c>
      <x:c r="BB796" s="9"/>
      <x:c r="BC796" s="9"/>
      <x:c r="BD796" s="9"/>
      <x:c r="BE796" s="11" t="str">
        <x:f>HYPERLINK("https://en.wikipedia.org/wiki/Super_Stardust","Wikipedia")</x:f>
        <x:v>Wikipedia</x:v>
      </x:c>
      <x:c r="BF796" s="11" t="str">
        <x:f>HYPERLINK("https://backloggd.com/search/games/Super%20Stardust/","Backloggd")</x:f>
        <x:v>Backloggd</x:v>
      </x:c>
      <x:c r="BG796" s="9"/>
      <x:c r="BH796" s="9"/>
      <x:c r="BI796" s="12" t="str">
        <x:v>No</x:v>
      </x:c>
      <x:c r="BJ796" s="12" t="str"/>
      <x:c r="BK796" s="12" t="str">
        <x:v>No</x:v>
      </x:c>
      <x:c r="BL796" s="12" t="str"/>
      <x:c r="BM796" s="12" t="str"/>
      <x:c r="BN796" s="12" t="str"/>
      <x:c r="BO796" s="12" t="str"/>
      <x:c r="BP796" s="12" t="str"/>
      <x:c r="BQ796" s="12" t="str"/>
    </x:row>
    <x:row r="797">
      <x:c r="A797" s="9" t="str">
        <x:v>cd32-3</x:v>
      </x:c>
      <x:c r="B797" s="9" t="str">
        <x:v>cannon-fodder</x:v>
      </x:c>
      <x:c r="C797" s="9" t="str">
        <x:v>Amiga CD32</x:v>
      </x:c>
      <x:c r="D797" s="9" t="str">
        <x:v>Cannon Fodder</x:v>
      </x:c>
      <x:c r="E797" s="9" t="str"/>
      <x:c r="F797" s="9" t="str">
        <x:v>Sensible Software (CD32 conversion: Arch Rivals)</x:v>
      </x:c>
      <x:c r="G797" s="9" t="str">
        <x:v>Virgin Interactive Entertainment</x:v>
      </x:c>
      <x:c r="H797" s="9" t="n">
        <x:v>1994</x:v>
      </x:c>
      <x:c r="I797" s="9" t="str">
        <x:v>No</x:v>
      </x:c>
      <x:c r="J797" s="9" t="str">
        <x:v>No</x:v>
      </x:c>
      <x:c r="K797" s="9" t="str">
        <x:v>Yes</x:v>
      </x:c>
      <x:c r="L797" s="9" t="str">
        <x:v>No</x:v>
      </x:c>
      <x:c r="M797" s="9" t="str">
        <x:v>Real-time strategy / shooter</x:v>
      </x:c>
      <x:c r="N797" s="9" t="str">
        <x:v>Pre-rendered CG</x:v>
      </x:c>
      <x:c r="O797" s="9" t="n">
        <x:v>1</x:v>
      </x:c>
      <x:c r="P797" s="9" t="str">
        <x:v>Cutscenes only</x:v>
      </x:c>
      <x:c r="Q797" s="9" t="str">
        <x:v>Released</x:v>
      </x:c>
      <x:c r="R797" s="9" t="str">
        <x:v>Amiga original (1993)</x:v>
      </x:c>
      <x:c r="S797" s="9" t="str">
        <x:v>Amiga, DOS, ST, Mega Drive, SNES, Jaguar, 3DO, GOG/Steam</x:v>
      </x:c>
      <x:c r="T797" s="9" t="str">
        <x:v>—</x:v>
      </x:c>
      <x:c r="U797" s="9" t="n">
        <x:v>1</x:v>
      </x:c>
      <x:c r="V797" s="9" t="str">
        <x:v>Yes</x:v>
      </x:c>
      <x:c r="W797" s="9" t="str">
        <x:v>CD32 joypad; CD32 mouse supported (verify); FMV intro uses the CD32 FMV module (MPEG cartridge) — verify</x:v>
      </x:c>
      <x:c r="X797" s="9" t="str">
        <x:v>Low–Med</x:v>
      </x:c>
      <x:c r="Y797" s="9" t="str">
        <x:v>'War has never been so much fun' theme song (original, verify)</x:v>
      </x:c>
      <x:c r="Z797" s="9" t="str">
        <x:v>4–6 hr</x:v>
      </x:c>
      <x:c r="AA797" s="9" t="str">
        <x:v>One of the few games that touched Commodore's MPEG FMV module, wrapped round Sensible's war satire.</x:v>
      </x:c>
      <x:c r="AB797" s="9" t="str">
        <x:v>None known</x:v>
      </x:c>
      <x:c r="AC797" s="9" t="str">
        <x:v>MPEG intro playable with the FMV module (per Wikipedia), otherwise standard — verify</x:v>
      </x:c>
      <x:c r="AD797" s="9" t="str">
        <x:v>Rises steeply after mission 10</x:v>
      </x:c>
      <x:c r="AE797" s="9" t="str">
        <x:v>Linear; one ending</x:v>
      </x:c>
      <x:c r="AF797" s="9"/>
      <x:c r="AG797" s="9" t="str"/>
      <x:c r="AH797" s="9" t="str">
        <x:v>Yes (GOG/Steam, PC version)</x:v>
      </x:c>
      <x:c r="AI797" s="9" t="str">
        <x:v>Easy</x:v>
      </x:c>
      <x:c r="AJ797" s="9" t="str">
        <x:v>Original CD32 (region-free discs) or FS-UAE/WinUAE CD32 emulation; also MiSTer Minimig/AmigaVision CD32 setups.</x:v>
      </x:c>
      <x:c r="AK797" s="9" t="str">
        <x:v>Wikipedia CD32 list tags this release 'FMV Module'. Exactly what the module adds is not confirmed — verify.</x:v>
      </x:c>
      <x:c r="AL797" s="10" t="n">
        <x:v>35.82</x:v>
      </x:c>
      <x:c r="AM797" s="10" t="n">
        <x:v>62.63</x:v>
      </x:c>
      <x:c r="AN797" s="10" t="n">
        <x:v>125</x:v>
      </x:c>
      <x:c r="AO797" s="9" t="str">
        <x:v>2026-10-24</x:v>
      </x:c>
      <x:c r="AP797" s="11" t="str">
        <x:f>HYPERLINK("https://www.pricecharting.com/game/pal-amiga-cd32/cannon-fodder","PriceCharting")</x:f>
        <x:v>PriceCharting</x:v>
      </x:c>
      <x:c r="AQ797" s="9"/>
      <x:c r="AR797" s="9"/>
      <x:c r="AS797" s="9"/>
      <x:c r="AT797" s="9"/>
      <x:c r="AU797" s="9"/>
      <x:c r="AV797" s="9"/>
      <x:c r="AW797" s="9"/>
      <x:c r="AX797" s="9"/>
      <x:c r="AY797" s="9" t="str">
        <x:v>90%</x:v>
      </x:c>
      <x:c r="AZ797" s="9" t="str">
        <x:v>3.8</x:v>
      </x:c>
      <x:c r="BA797" s="11" t="str">
        <x:f>HYPERLINK("https://www.mobygames.com/game/amiga-cd32/cannon-fodder","MobyGames")</x:f>
        <x:v>MobyGames</x:v>
      </x:c>
      <x:c r="BB797" s="9"/>
      <x:c r="BC797" s="9"/>
      <x:c r="BD797" s="9"/>
      <x:c r="BE797" s="11" t="str">
        <x:f>HYPERLINK("https://en.wikipedia.org/wiki/Cannon_Fodder_(video_game)","Wikipedia")</x:f>
        <x:v>Wikipedia</x:v>
      </x:c>
      <x:c r="BF797" s="11" t="str">
        <x:f>HYPERLINK("https://backloggd.com/search/games/Cannon%20Fodder/","Backloggd")</x:f>
        <x:v>Backloggd</x:v>
      </x:c>
      <x:c r="BG797" s="9"/>
      <x:c r="BH797" s="9"/>
      <x:c r="BI797" s="12" t="str">
        <x:v>No</x:v>
      </x:c>
      <x:c r="BJ797" s="12" t="str"/>
      <x:c r="BK797" s="12" t="str">
        <x:v>No</x:v>
      </x:c>
      <x:c r="BL797" s="12" t="str"/>
      <x:c r="BM797" s="12" t="str"/>
      <x:c r="BN797" s="12" t="str"/>
      <x:c r="BO797" s="12" t="str"/>
      <x:c r="BP797" s="12" t="str"/>
      <x:c r="BQ797" s="12" t="str"/>
    </x:row>
    <x:row r="798">
      <x:c r="A798" s="9" t="str">
        <x:v>cd32-4</x:v>
      </x:c>
      <x:c r="B798" s="9" t="str">
        <x:v>surf-ninjas</x:v>
      </x:c>
      <x:c r="C798" s="9" t="str">
        <x:v>Amiga CD32</x:v>
      </x:c>
      <x:c r="D798" s="9" t="str">
        <x:v>Surf Ninjas</x:v>
      </x:c>
      <x:c r="E798" s="9" t="str"/>
      <x:c r="F798" s="9" t="str">
        <x:v>Creative Edge Software</x:v>
      </x:c>
      <x:c r="G798" s="9" t="str">
        <x:v>MicroValue</x:v>
      </x:c>
      <x:c r="H798" s="9" t="n">
        <x:v>1994</x:v>
      </x:c>
      <x:c r="I798" s="9" t="str">
        <x:v>No</x:v>
      </x:c>
      <x:c r="J798" s="9" t="str">
        <x:v>No</x:v>
      </x:c>
      <x:c r="K798" s="9" t="str">
        <x:v>Yes</x:v>
      </x:c>
      <x:c r="L798" s="9" t="str">
        <x:v>No</x:v>
      </x:c>
      <x:c r="M798" s="9" t="str">
        <x:v>Fighting / action</x:v>
      </x:c>
      <x:c r="N798" s="9" t="str">
        <x:v>Live-action</x:v>
      </x:c>
      <x:c r="O798" s="9" t="n">
        <x:v>2</x:v>
      </x:c>
      <x:c r="P798" s="9" t="str">
        <x:v>Cutscenes only</x:v>
      </x:c>
      <x:c r="Q798" s="9" t="str">
        <x:v>Released</x:v>
      </x:c>
      <x:c r="R798" s="9" t="str">
        <x:v>Film license (Surf Ninjas, 1993)</x:v>
      </x:c>
      <x:c r="S798" s="9" t="str">
        <x:v>Game Gear</x:v>
      </x:c>
      <x:c r="T798" s="9" t="str">
        <x:v>Clips may feature Ernie Reyes Jr., Rob Schneider, Leslie Nielsen (film cast — verify)</x:v>
      </x:c>
      <x:c r="U798" s="9" t="n">
        <x:v>1</x:v>
      </x:c>
      <x:c r="V798" s="9" t="str">
        <x:v>No</x:v>
      </x:c>
      <x:c r="W798" s="9" t="str">
        <x:v>CD32 joypad; runs on CD32 (and Amiga CD1200/A1200 with CD32 emulation). No FMV module needed.</x:v>
      </x:c>
      <x:c r="X798" s="9" t="str">
        <x:v>HIGH</x:v>
      </x:c>
      <x:c r="Y798" s="9" t="str">
        <x:v>Clips from the New Line film</x:v>
      </x:c>
      <x:c r="Z798" s="9" t="str">
        <x:v>30–60 min</x:v>
      </x:c>
      <x:c r="AA798" s="9" t="str">
        <x:v>A CD32-only tie-in with clips from the 1993 Rob Schneider/Leslie Nielsen movie.</x:v>
      </x:c>
      <x:c r="AB798" s="9" t="str">
        <x:v>None known</x:v>
      </x:c>
      <x:c r="AC798" s="9" t="str">
        <x:v>Live-action film clips streamed from CD, small window — verify</x:v>
      </x:c>
      <x:c r="AD798" s="9" t="str">
        <x:v>Unknown — verify</x:v>
      </x:c>
      <x:c r="AE798" s="9" t="str">
        <x:v>Linear; one ending</x:v>
      </x:c>
      <x:c r="AF798" s="9"/>
      <x:c r="AG798" s="9" t="str"/>
      <x:c r="AH798" s="9" t="str">
        <x:v>No</x:v>
      </x:c>
      <x:c r="AI798" s="9" t="str">
        <x:v>Easy</x:v>
      </x:c>
      <x:c r="AJ798" s="9" t="str">
        <x:v>Original CD32 (region-free discs) or FS-UAE/WinUAE CD32 emulation; also MiSTer Minimig/AmigaVision CD32 setups.</x:v>
      </x:c>
      <x:c r="AK798" s="9" t="str">
        <x:v>Wikipedia list marks FMV. PriceCharting has a page but no prices. na=false (verify).</x:v>
      </x:c>
      <x:c r="AL798" s="10"/>
      <x:c r="AM798" s="10"/>
      <x:c r="AN798" s="10"/>
      <x:c r="AO798" s="9" t="str">
        <x:v>2026-10-24</x:v>
      </x:c>
      <x:c r="AP798" s="11" t="str">
        <x:f>HYPERLINK("https://www.pricecharting.com/game/pal-amiga-cd32/surf-ninjas","PriceCharting")</x:f>
        <x:v>PriceCharting</x:v>
      </x:c>
      <x:c r="AQ798" s="9"/>
      <x:c r="AR798" s="9"/>
      <x:c r="AS798" s="9"/>
      <x:c r="AT798" s="9"/>
      <x:c r="AU798" s="9"/>
      <x:c r="AV798" s="9"/>
      <x:c r="AW798" s="9"/>
      <x:c r="AX798" s="9"/>
      <x:c r="AY798" s="9"/>
      <x:c r="AZ798" s="9"/>
      <x:c r="BA798" s="11" t="str">
        <x:f>HYPERLINK("https://www.mobygames.com/search/?q=Surf+Ninjas","MobyGames")</x:f>
        <x:v>MobyGames</x:v>
      </x:c>
      <x:c r="BB798" s="9"/>
      <x:c r="BC798" s="9"/>
      <x:c r="BD798" s="9"/>
      <x:c r="BE798" s="9"/>
      <x:c r="BF798" s="11" t="str">
        <x:f>HYPERLINK("https://backloggd.com/search/games/Surf%20Ninjas/","Backloggd")</x:f>
        <x:v>Backloggd</x:v>
      </x:c>
      <x:c r="BG798" s="9"/>
      <x:c r="BH798" s="9"/>
      <x:c r="BI798" s="12" t="str">
        <x:v>No</x:v>
      </x:c>
      <x:c r="BJ798" s="12" t="str"/>
      <x:c r="BK798" s="12" t="str">
        <x:v>No</x:v>
      </x:c>
      <x:c r="BL798" s="12" t="str"/>
      <x:c r="BM798" s="12" t="str"/>
      <x:c r="BN798" s="12" t="str"/>
      <x:c r="BO798" s="12" t="str"/>
      <x:c r="BP798" s="12" t="str"/>
      <x:c r="BQ798" s="12" t="str"/>
    </x:row>
    <x:row r="799">
      <x:c r="A799" s="9" t="str">
        <x:v>cd32-5</x:v>
      </x:c>
      <x:c r="B799" s="9" t="str">
        <x:v>prey-an-alien-encounter</x:v>
      </x:c>
      <x:c r="C799" s="9" t="str">
        <x:v>Amiga CD32</x:v>
      </x:c>
      <x:c r="D799" s="9" t="str">
        <x:v>Prey: An Alien Encounter</x:v>
      </x:c>
      <x:c r="E799" s="9" t="str"/>
      <x:c r="F799" s="9" t="str">
        <x:v>Almathera Systems</x:v>
      </x:c>
      <x:c r="G799" s="9" t="str">
        <x:v>Kirk Moreno Multimedia (verify)</x:v>
      </x:c>
      <x:c r="H799" s="9" t="n">
        <x:v>1992</x:v>
      </x:c>
      <x:c r="I799" s="9" t="str">
        <x:v>No</x:v>
      </x:c>
      <x:c r="J799" s="9" t="str">
        <x:v>No</x:v>
      </x:c>
      <x:c r="K799" s="9" t="str">
        <x:v>Yes</x:v>
      </x:c>
      <x:c r="L799" s="9" t="str">
        <x:v>No</x:v>
      </x:c>
      <x:c r="M799" s="9" t="str">
        <x:v>3D adventure</x:v>
      </x:c>
      <x:c r="N799" s="9" t="str">
        <x:v>Pre-rendered CG</x:v>
      </x:c>
      <x:c r="O799" s="9" t="n">
        <x:v>4</x:v>
      </x:c>
      <x:c r="P799" s="9" t="str">
        <x:v>FMV adventure</x:v>
      </x:c>
      <x:c r="Q799" s="9" t="str">
        <x:v>Released</x:v>
      </x:c>
      <x:c r="R799" s="9" t="str">
        <x:v>Original production (CDTV)</x:v>
      </x:c>
      <x:c r="S799" s="9" t="str">
        <x:v>CDTV (same disc)</x:v>
      </x:c>
      <x:c r="T799" s="9" t="str">
        <x:v>—</x:v>
      </x:c>
      <x:c r="U799" s="9" t="n">
        <x:v>1</x:v>
      </x:c>
      <x:c r="V799" s="9" t="str">
        <x:v>No</x:v>
      </x:c>
      <x:c r="W799" s="9" t="str">
        <x:v>Runs on CDTV and CD32 (same disc). CDTV remote or CD32 joypad.</x:v>
      </x:c>
      <x:c r="X799" s="9" t="str">
        <x:v>Low</x:v>
      </x:c>
      <x:c r="Y799" s="9" t="str"/>
      <x:c r="Z799" s="9" t="str">
        <x:v>Unknown — verify</x:v>
      </x:c>
      <x:c r="AA799" s="9" t="str">
        <x:v>A rendered first-person alien-ship adventure from the CDTV era that also runs on CD32.</x:v>
      </x:c>
      <x:c r="AB799" s="9" t="str">
        <x:v>None known</x:v>
      </x:c>
      <x:c r="AC799" s="9" t="str">
        <x:v>Pre-rendered animation sequences played from CD — format (CDXL vs ANIM) unconfirmed — verify</x:v>
      </x:c>
      <x:c r="AD799" s="9" t="str">
        <x:v>Unknown — verify</x:v>
      </x:c>
      <x:c r="AE799" s="9" t="str">
        <x:v>Linear; one ending</x:v>
      </x:c>
      <x:c r="AF799" s="9"/>
      <x:c r="AG799" s="9" t="str"/>
      <x:c r="AH799" s="9" t="str">
        <x:v>No</x:v>
      </x:c>
      <x:c r="AI799" s="9" t="str">
        <x:v>Easy</x:v>
      </x:c>
      <x:c r="AJ799" s="9" t="str">
        <x:v>Original CDTV (US/EU) or FS-UAE/WinUAE with CDTV emulation.</x:v>
      </x:c>
      <x:c r="AK799" s="9" t="str">
        <x:v>Wikipedia CD32 list: same as CDTV version; CD32 date 1994. Year is the CDTV release (verify 1992/1993). Streamed-video content needs confirming — verify.</x:v>
      </x:c>
      <x:c r="AL799" s="10" t="n">
        <x:v>33.69</x:v>
      </x:c>
      <x:c r="AM799" s="10" t="n">
        <x:v>62.79</x:v>
      </x:c>
      <x:c r="AN799" s="10" t="n">
        <x:v>138.85</x:v>
      </x:c>
      <x:c r="AO799" s="9" t="str">
        <x:v>2026-10-24</x:v>
      </x:c>
      <x:c r="AP799" s="11" t="str">
        <x:f>HYPERLINK("https://www.pricecharting.com/game/pal-amiga-cd32/prey-an-alien-encounter","PriceCharting")</x:f>
        <x:v>PriceCharting</x:v>
      </x:c>
      <x:c r="AQ799" s="9"/>
      <x:c r="AR799" s="9"/>
      <x:c r="AS799" s="9"/>
      <x:c r="AT799" s="9"/>
      <x:c r="AU799" s="9"/>
      <x:c r="AV799" s="9"/>
      <x:c r="AW799" s="9"/>
      <x:c r="AX799" s="9"/>
      <x:c r="AY799" s="9"/>
      <x:c r="AZ799" s="9"/>
      <x:c r="BA799" s="11" t="str">
        <x:f>HYPERLINK("https://www.mobygames.com/search/?q=Prey%3A+An+Alien+Encounter","MobyGames")</x:f>
        <x:v>MobyGames</x:v>
      </x:c>
      <x:c r="BB799" s="9"/>
      <x:c r="BC799" s="9"/>
      <x:c r="BD799" s="9"/>
      <x:c r="BE799" s="9"/>
      <x:c r="BF799" s="11" t="str">
        <x:f>HYPERLINK("https://backloggd.com/search/games/Prey%3A%20An%20Alien%20Encounter/","Backloggd")</x:f>
        <x:v>Backloggd</x:v>
      </x:c>
      <x:c r="BG799" s="9"/>
      <x:c r="BH799" s="9"/>
      <x:c r="BI799" s="12" t="str">
        <x:v>No</x:v>
      </x:c>
      <x:c r="BJ799" s="12" t="str"/>
      <x:c r="BK799" s="12" t="str">
        <x:v>No</x:v>
      </x:c>
      <x:c r="BL799" s="12" t="str"/>
      <x:c r="BM799" s="12" t="str"/>
      <x:c r="BN799" s="12" t="str"/>
      <x:c r="BO799" s="12" t="str"/>
      <x:c r="BP799" s="12" t="str"/>
      <x:c r="BQ799" s="12" t="str"/>
    </x:row>
    <x:row r="800">
      <x:c r="A800" s="9" t="str">
        <x:v>cd32-6</x:v>
      </x:c>
      <x:c r="B800" s="9" t="str">
        <x:v>psycho-killer</x:v>
      </x:c>
      <x:c r="C800" s="9" t="str">
        <x:v>Amiga CD32</x:v>
      </x:c>
      <x:c r="D800" s="9" t="str">
        <x:v>Psycho Killer</x:v>
      </x:c>
      <x:c r="E800" s="9" t="str"/>
      <x:c r="F800" s="9" t="str">
        <x:v>On-Line Entertainment</x:v>
      </x:c>
      <x:c r="G800" s="9" t="str">
        <x:v>On-Line Entertainment</x:v>
      </x:c>
      <x:c r="H800" s="9" t="n">
        <x:v>1992</x:v>
      </x:c>
      <x:c r="I800" s="9" t="str">
        <x:v>No</x:v>
      </x:c>
      <x:c r="J800" s="9" t="str">
        <x:v>No</x:v>
      </x:c>
      <x:c r="K800" s="9" t="str">
        <x:v>Yes</x:v>
      </x:c>
      <x:c r="L800" s="9" t="str">
        <x:v>No</x:v>
      </x:c>
      <x:c r="M800" s="9" t="str">
        <x:v>Interactive movie</x:v>
      </x:c>
      <x:c r="N800" s="9" t="str">
        <x:v>Live-action</x:v>
      </x:c>
      <x:c r="O800" s="9" t="n">
        <x:v>10</x:v>
      </x:c>
      <x:c r="P800" s="9" t="str">
        <x:v>Interactive movie</x:v>
      </x:c>
      <x:c r="Q800" s="9" t="str">
        <x:v>Released</x:v>
      </x:c>
      <x:c r="R800" s="9" t="str">
        <x:v>Original production</x:v>
      </x:c>
      <x:c r="S800" s="9" t="str">
        <x:v>Amiga (floppy), DOS (verify)</x:v>
      </x:c>
      <x:c r="T800" s="9" t="str">
        <x:v>Unknown — verify</x:v>
      </x:c>
      <x:c r="U800" s="9" t="n">
        <x:v>1</x:v>
      </x:c>
      <x:c r="V800" s="9" t="str">
        <x:v>No</x:v>
      </x:c>
      <x:c r="W800" s="9" t="str">
        <x:v>CDTV remote/mouse; runs on CD32 per most sources (verify)</x:v>
      </x:c>
      <x:c r="X800" s="9" t="str">
        <x:v>Low</x:v>
      </x:c>
      <x:c r="Y800" s="9" t="str"/>
      <x:c r="Z800" s="9" t="str">
        <x:v>Under 10 min</x:v>
      </x:c>
      <x:c r="AA800" s="9" t="str">
        <x:v>A sub-ten-minute digitised slasher movie that was meant to sell the CDTV and did the opposite.</x:v>
      </x:c>
      <x:c r="AB800" s="9" t="str">
        <x:v>None known</x:v>
      </x:c>
      <x:c r="AC800" s="9" t="str">
        <x:v>Grainy digitised stills interleaved with short video clips from CD (CDXL-era) — verify</x:v>
      </x:c>
      <x:c r="AD800" s="9" t="str">
        <x:v>Twitch reactions (click the brake in time); unclear cursor on CDTV</x:v>
      </x:c>
      <x:c r="AE800" s="9" t="str">
        <x:v>Death screens on wrong choices; one good ending (verify)</x:v>
      </x:c>
      <x:c r="AF800" s="9" t="str">
        <x:v>GameStar called it a photo novel on pocket-money budget; there is no save option.</x:v>
      </x:c>
      <x:c r="AG800" s="9" t="str"/>
      <x:c r="AH800" s="9" t="str">
        <x:v>No</x:v>
      </x:c>
      <x:c r="AI800" s="9" t="str">
        <x:v>Easy</x:v>
      </x:c>
      <x:c r="AJ800" s="9" t="str">
        <x:v>Original CDTV (US/EU) or FS-UAE/WinUAE with CDTV emulation.</x:v>
      </x:c>
      <x:c r="AK800" s="9" t="str">
        <x:v>GameStar calls it a CDTV exclusive interactive film. CDTV US release of this title not confirmed; na=false (verify).</x:v>
      </x:c>
      <x:c r="AL800" s="10"/>
      <x:c r="AM800" s="10"/>
      <x:c r="AN800" s="10"/>
      <x:c r="AO800" s="9"/>
      <x:c r="AP800" s="11" t="str">
        <x:f>HYPERLINK("https://www.pricecharting.com/search-products?q=Psycho+Killer+amiga+cd32&amp;type=prices","PriceCharting")</x:f>
        <x:v>PriceCharting</x:v>
      </x:c>
      <x:c r="AQ800" s="9"/>
      <x:c r="AR800" s="9"/>
      <x:c r="AS800" s="9"/>
      <x:c r="AT800" s="9"/>
      <x:c r="AU800" s="9"/>
      <x:c r="AV800" s="9"/>
      <x:c r="AW800" s="9"/>
      <x:c r="AX800" s="9"/>
      <x:c r="AY800" s="9"/>
      <x:c r="AZ800" s="9"/>
      <x:c r="BA800" s="11" t="str">
        <x:f>HYPERLINK("https://www.mobygames.com/game/cdtv/psycho-killer","MobyGames")</x:f>
        <x:v>MobyGames</x:v>
      </x:c>
      <x:c r="BB800" s="9"/>
      <x:c r="BC800" s="9"/>
      <x:c r="BD800" s="9"/>
      <x:c r="BE800" s="9"/>
      <x:c r="BF800" s="11" t="str">
        <x:f>HYPERLINK("https://backloggd.com/search/games/Psycho%20Killer/","Backloggd")</x:f>
        <x:v>Backloggd</x:v>
      </x:c>
      <x:c r="BG800" s="9"/>
      <x:c r="BH800" s="9"/>
      <x:c r="BI800" s="12" t="str">
        <x:v>No</x:v>
      </x:c>
      <x:c r="BJ800" s="12" t="str"/>
      <x:c r="BK800" s="12" t="str">
        <x:v>No</x:v>
      </x:c>
      <x:c r="BL800" s="12" t="str"/>
      <x:c r="BM800" s="12" t="str"/>
      <x:c r="BN800" s="12" t="str"/>
      <x:c r="BO800" s="12" t="str"/>
      <x:c r="BP800" s="12" t="str"/>
      <x:c r="BQ800" s="12" t="str"/>
    </x:row>
    <x:row r="801">
      <x:c r="A801" s="9" t="str">
        <x:v>cd32-7</x:v>
      </x:c>
      <x:c r="B801" s="9" t="str">
        <x:v>the-town-with-no-name</x:v>
      </x:c>
      <x:c r="C801" s="9" t="str">
        <x:v>Amiga CD32</x:v>
      </x:c>
      <x:c r="D801" s="9" t="str">
        <x:v>The Town with No Name</x:v>
      </x:c>
      <x:c r="E801" s="9" t="str">
        <x:v>Town With No Name</x:v>
      </x:c>
      <x:c r="F801" s="9" t="str">
        <x:v>Delta 4</x:v>
      </x:c>
      <x:c r="G801" s="9" t="str">
        <x:v>On-Line Entertainment</x:v>
      </x:c>
      <x:c r="H801" s="9" t="n">
        <x:v>1992</x:v>
      </x:c>
      <x:c r="I801" s="9" t="str">
        <x:v>No</x:v>
      </x:c>
      <x:c r="J801" s="9" t="str">
        <x:v>No</x:v>
      </x:c>
      <x:c r="K801" s="9" t="str">
        <x:v>Yes</x:v>
      </x:c>
      <x:c r="L801" s="9" t="str">
        <x:v>No</x:v>
      </x:c>
      <x:c r="M801" s="9" t="str">
        <x:v>Interactive movie (western)</x:v>
      </x:c>
      <x:c r="N801" s="9" t="str">
        <x:v>Animated</x:v>
      </x:c>
      <x:c r="O801" s="9" t="n">
        <x:v>8</x:v>
      </x:c>
      <x:c r="P801" s="9" t="str">
        <x:v>Interactive movie</x:v>
      </x:c>
      <x:c r="Q801" s="9" t="str">
        <x:v>Released</x:v>
      </x:c>
      <x:c r="R801" s="9" t="str">
        <x:v>Original production</x:v>
      </x:c>
      <x:c r="S801" s="9" t="str">
        <x:v>DOS (1993)</x:v>
      </x:c>
      <x:c r="T801" s="9" t="str">
        <x:v>Fergus McNeill (director/composer, as 'The Jester')</x:v>
      </x:c>
      <x:c r="U801" s="9" t="n">
        <x:v>1</x:v>
      </x:c>
      <x:c r="V801" s="9" t="str">
        <x:v>No</x:v>
      </x:c>
      <x:c r="W801" s="9" t="str">
        <x:v>CDTV remote/mouse; reportedly runs on CD32 (PriceCharting files it under PAL CD32) — verify</x:v>
      </x:c>
      <x:c r="X801" s="9" t="str">
        <x:v>Low</x:v>
      </x:c>
      <x:c r="Y801" s="9" t="str"/>
      <x:c r="Z801" s="9" t="str">
        <x:v>Under 30 min</x:v>
      </x:c>
      <x:c r="AA801" s="9" t="str">
        <x:v>The 'hypnotically awful' CDTV western that became an internet meme: crude 3D animation, menus and quick-draw duels.</x:v>
      </x:c>
      <x:c r="AB801" s="9" t="str">
        <x:v>None known</x:v>
      </x:c>
      <x:c r="AC801" s="9" t="str">
        <x:v>Short animated 3D scenes played from CD between point-and-click menus</x:v>
      </x:c>
      <x:c r="AD801" s="9" t="str">
        <x:v>Easy; duels are a light-gun-style quick-time click</x:v>
      </x:c>
      <x:c r="AE801" s="9" t="str">
        <x:v>Normal ending plus an alternate ending (train flies into space)</x:v>
      </x:c>
      <x:c r="AF801" s="9" t="str">
        <x:v>Evil Eb was first named 'Three-Gun Theo' with an extra hand for a third pistol; produced by Clement Chambers.</x:v>
      </x:c>
      <x:c r="AG801" s="9" t="str"/>
      <x:c r="AH801" s="9" t="str">
        <x:v>No (2023 fan remake in Unity)</x:v>
      </x:c>
      <x:c r="AI801" s="9" t="str">
        <x:v>Expensive</x:v>
      </x:c>
      <x:c r="AJ801" s="9" t="str">
        <x:v>Original CD32 (region-free discs) or FS-UAE/WinUAE CD32 emulation; also MiSTer Minimig/AmigaVision CD32 setups.</x:v>
      </x:c>
      <x:c r="AK801" s="9" t="str">
        <x:v>Wikipedia: CDTV 1992, MS-DOS 1993. PriceCharting PAL CD32 page lists it at ~$400 loose, hence Expensive. na=false (verify).</x:v>
      </x:c>
      <x:c r="AL801" s="10" t="n">
        <x:v>400</x:v>
      </x:c>
      <x:c r="AM801" s="10" t="n">
        <x:v>400</x:v>
      </x:c>
      <x:c r="AN801" s="10" t="n">
        <x:v>800</x:v>
      </x:c>
      <x:c r="AO801" s="9" t="str">
        <x:v>2026-10-24</x:v>
      </x:c>
      <x:c r="AP801" s="11" t="str">
        <x:f>HYPERLINK("https://www.pricecharting.com/game/pal-amiga-cd32/the-town-with-no-name","PriceCharting")</x:f>
        <x:v>PriceCharting</x:v>
      </x:c>
      <x:c r="AQ801" s="9"/>
      <x:c r="AR801" s="9"/>
      <x:c r="AS801" s="9"/>
      <x:c r="AT801" s="9"/>
      <x:c r="AU801" s="9"/>
      <x:c r="AV801" s="9"/>
      <x:c r="AW801" s="9"/>
      <x:c r="AX801" s="9"/>
      <x:c r="AY801" s="9"/>
      <x:c r="AZ801" s="9"/>
      <x:c r="BA801" s="11" t="str">
        <x:f>HYPERLINK("https://mobygames.com/game/7593/town-with-no-name","MobyGames")</x:f>
        <x:v>MobyGames</x:v>
      </x:c>
      <x:c r="BB801" s="9" t="str">
        <x:v>44%</x:v>
      </x:c>
      <x:c r="BC801" s="9" t="str">
        <x:v>average of 2 Amiga reviews on Wikipedia (Amiga Format, Amiga Joker)</x:v>
      </x:c>
      <x:c r="BD801" s="9" t="str">
        <x:f>HYPERLINK("https://en.wikipedia.org/wiki/The_Town_with_No_Name","Source")</x:f>
        <x:v>Source</x:v>
      </x:c>
      <x:c r="BE801" s="11" t="str">
        <x:f>HYPERLINK("https://en.wikipedia.org/wiki/The_Town_with_No_Name","Wikipedia")</x:f>
        <x:v>Wikipedia</x:v>
      </x:c>
      <x:c r="BF801" s="11" t="str">
        <x:f>HYPERLINK("https://backloggd.com/search/games/The%20Town%20with%20No%20Name/","Backloggd")</x:f>
        <x:v>Backloggd</x:v>
      </x:c>
      <x:c r="BG801" s="9"/>
      <x:c r="BH801" s="9"/>
      <x:c r="BI801" s="12" t="str">
        <x:v>No</x:v>
      </x:c>
      <x:c r="BJ801" s="12" t="str"/>
      <x:c r="BK801" s="12" t="str">
        <x:v>No</x:v>
      </x:c>
      <x:c r="BL801" s="12" t="str"/>
      <x:c r="BM801" s="12" t="str"/>
      <x:c r="BN801" s="12" t="str"/>
      <x:c r="BO801" s="12" t="str"/>
      <x:c r="BP801" s="12" t="str"/>
      <x:c r="BQ801" s="12" t="str"/>
    </x:row>
    <x:row r="802">
      <x:c r="A802" s="9" t="str">
        <x:v>cd32-8</x:v>
      </x:c>
      <x:c r="B802" s="9" t="str">
        <x:v>sherlock-holmes-consulting-detective-vol-i</x:v>
      </x:c>
      <x:c r="C802" s="9" t="str">
        <x:v>Amiga CD32</x:v>
      </x:c>
      <x:c r="D802" s="9" t="str">
        <x:v>Sherlock Holmes: Consulting Detective Vol. I</x:v>
      </x:c>
      <x:c r="E802" s="9" t="str"/>
      <x:c r="F802" s="9" t="str">
        <x:v>ICOM Simulations</x:v>
      </x:c>
      <x:c r="G802" s="9" t="str">
        <x:v>ICOM Simulations</x:v>
      </x:c>
      <x:c r="H802" s="9" t="n">
        <x:v>1991</x:v>
      </x:c>
      <x:c r="I802" s="9" t="str">
        <x:v>Yes</x:v>
      </x:c>
      <x:c r="J802" s="9" t="str">
        <x:v>No</x:v>
      </x:c>
      <x:c r="K802" s="9" t="str">
        <x:v>Yes</x:v>
      </x:c>
      <x:c r="L802" s="9" t="str">
        <x:v>No</x:v>
      </x:c>
      <x:c r="M802" s="9" t="str">
        <x:v>FMV adventure</x:v>
      </x:c>
      <x:c r="N802" s="9" t="str">
        <x:v>Live-action</x:v>
      </x:c>
      <x:c r="O802" s="9" t="n">
        <x:v>10</x:v>
      </x:c>
      <x:c r="P802" s="9" t="str">
        <x:v>FMV adventure</x:v>
      </x:c>
      <x:c r="Q802" s="9" t="str">
        <x:v>Released</x:v>
      </x:c>
      <x:c r="R802" s="9" t="str">
        <x:v>Original production (based on the board game)</x:v>
      </x:c>
      <x:c r="S802" s="9" t="str">
        <x:v>DOS, Mac, Sega CD, TurboGrafx-CD, FM Towns, CD-i; 2010s remake</x:v>
      </x:c>
      <x:c r="T802" s="9" t="str">
        <x:v>Peter Farley (Holmes)</x:v>
      </x:c>
      <x:c r="U802" s="9" t="n">
        <x:v>1</x:v>
      </x:c>
      <x:c r="V802" s="9" t="str">
        <x:v>Yes (verify)</x:v>
      </x:c>
      <x:c r="W802" s="9" t="str">
        <x:v>CDTV remote/mouse; CD32 compatibility not confirmed — verify</x:v>
      </x:c>
      <x:c r="X802" s="9" t="str">
        <x:v>Low</x:v>
      </x:c>
      <x:c r="Y802" s="9" t="str"/>
      <x:c r="Z802" s="9" t="str">
        <x:v>1–2 hr per case</x:v>
      </x:c>
      <x:c r="AA802" s="9" t="str">
        <x:v>The first live-action FMV mystery on any home console, two years before the Sega CD version.</x:v>
      </x:c>
      <x:c r="AB802" s="9" t="str">
        <x:v>None known</x:v>
      </x:c>
      <x:c r="AC802" s="9" t="str">
        <x:v>Small-window live-action video via CDXL-era streaming — verify</x:v>
      </x:c>
      <x:c r="AD802" s="9" t="str">
        <x:v>Moderate; deduction puzzles</x:v>
      </x:c>
      <x:c r="AE802" s="9" t="str">
        <x:v>Three cases, judge quizzes at the end of each</x:v>
      </x:c>
      <x:c r="AF802" s="9" t="str">
        <x:v>The 1991 CDTV release predates the Sega CD and PC versions, making it among the first CD-ROM games with live-action video (verify).</x:v>
      </x:c>
      <x:c r="AG802" s="9" t="str"/>
      <x:c r="AH802" s="9" t="str">
        <x:v>Yes (2010s remakes on PC/iOS by Zojoi, re-shot footage)</x:v>
      </x:c>
      <x:c r="AI802" s="9" t="str">
        <x:v>Easy</x:v>
      </x:c>
      <x:c r="AJ802" s="9" t="str">
        <x:v>Original CDTV (US/EU) or FS-UAE/WinUAE with CDTV emulation.</x:v>
      </x:c>
      <x:c r="AK802" s="9" t="str">
        <x:v>CDTV had a US release; ICOM is a US publisher, so na=true. Not on PriceCharting CD32 pages.</x:v>
      </x:c>
      <x:c r="AL802" s="10"/>
      <x:c r="AM802" s="10"/>
      <x:c r="AN802" s="10"/>
      <x:c r="AO802" s="9"/>
      <x:c r="AP802" s="11" t="str">
        <x:f>HYPERLINK("https://www.pricecharting.com/search-products?q=Sherlock+Holmes%3A+Consulting+Detective+Vol.+I+amiga+cd32&amp;type=prices","PriceCharting")</x:f>
        <x:v>PriceCharting</x:v>
      </x:c>
      <x:c r="AQ802" s="9"/>
      <x:c r="AR802" s="9"/>
      <x:c r="AS802" s="9"/>
      <x:c r="AT802" s="9"/>
      <x:c r="AU802" s="9"/>
      <x:c r="AV802" s="9"/>
      <x:c r="AW802" s="9"/>
      <x:c r="AX802" s="9"/>
      <x:c r="AY802" s="9"/>
      <x:c r="AZ802" s="9"/>
      <x:c r="BA802" s="11" t="str">
        <x:f>HYPERLINK("https://www.mobygames.com/game/392/","MobyGames")</x:f>
        <x:v>MobyGames</x:v>
      </x:c>
      <x:c r="BB802" s="9"/>
      <x:c r="BC802" s="9"/>
      <x:c r="BD802" s="9"/>
      <x:c r="BE802" s="11" t="str">
        <x:f>HYPERLINK("https://en.wikipedia.org/wiki/Sherlock_Holmes,_Consulting_Detective_(video_game)","Wikipedia")</x:f>
        <x:v>Wikipedia</x:v>
      </x:c>
      <x:c r="BF802" s="11" t="str">
        <x:f>HYPERLINK("https://backloggd.com/search/games/Sherlock%20Holmes%3A%20Consulting%20Detective%20Vol.%20I/","Backloggd")</x:f>
        <x:v>Backloggd</x:v>
      </x:c>
      <x:c r="BG802" s="9"/>
      <x:c r="BH802" s="9"/>
      <x:c r="BI802" s="12" t="str">
        <x:v>No</x:v>
      </x:c>
      <x:c r="BJ802" s="12" t="str"/>
      <x:c r="BK802" s="12" t="str">
        <x:v>No</x:v>
      </x:c>
      <x:c r="BL802" s="12" t="str"/>
      <x:c r="BM802" s="12" t="str"/>
      <x:c r="BN802" s="12" t="str"/>
      <x:c r="BO802" s="12" t="str"/>
      <x:c r="BP802" s="12" t="str"/>
      <x:c r="BQ802" s="12" t="str"/>
    </x:row>
    <x:row r="803">
      <x:c r="A803" s="9" t="str">
        <x:v>cd32-9</x:v>
      </x:c>
      <x:c r="B803" s="9" t="str">
        <x:v>the-case-of-the-cautious-condor</x:v>
      </x:c>
      <x:c r="C803" s="9" t="str">
        <x:v>Amiga CD32</x:v>
      </x:c>
      <x:c r="D803" s="9" t="str">
        <x:v>The Case of the Cautious Condor</x:v>
      </x:c>
      <x:c r="E803" s="9" t="str"/>
      <x:c r="F803" s="9" t="str">
        <x:v>Tiger Media</x:v>
      </x:c>
      <x:c r="G803" s="9" t="str">
        <x:v>Tiger Media</x:v>
      </x:c>
      <x:c r="H803" s="9" t="n">
        <x:v>1990</x:v>
      </x:c>
      <x:c r="I803" s="9" t="str">
        <x:v>Yes</x:v>
      </x:c>
      <x:c r="J803" s="9" t="str">
        <x:v>No</x:v>
      </x:c>
      <x:c r="K803" s="9" t="str">
        <x:v>Yes</x:v>
      </x:c>
      <x:c r="L803" s="9" t="str">
        <x:v>No</x:v>
      </x:c>
      <x:c r="M803" s="9" t="str">
        <x:v>Interactive mystery</x:v>
      </x:c>
      <x:c r="N803" s="9" t="str">
        <x:v>Animated</x:v>
      </x:c>
      <x:c r="O803" s="9" t="n">
        <x:v>6</x:v>
      </x:c>
      <x:c r="P803" s="9" t="str">
        <x:v>Interactive movie</x:v>
      </x:c>
      <x:c r="Q803" s="9" t="str">
        <x:v>Released</x:v>
      </x:c>
      <x:c r="R803" s="9" t="str">
        <x:v>Original production</x:v>
      </x:c>
      <x:c r="S803" s="9" t="str">
        <x:v>FM Towns, MS-DOS</x:v>
      </x:c>
      <x:c r="T803" s="9" t="str">
        <x:v>—</x:v>
      </x:c>
      <x:c r="U803" s="9" t="n">
        <x:v>1</x:v>
      </x:c>
      <x:c r="V803" s="9" t="str">
        <x:v>No</x:v>
      </x:c>
      <x:c r="W803" s="9" t="str">
        <x:v>CDTV remote/mouse</x:v>
      </x:c>
      <x:c r="X803" s="9" t="str">
        <x:v>Low</x:v>
      </x:c>
      <x:c r="Y803" s="9" t="str"/>
      <x:c r="Z803" s="9" t="str">
        <x:v>30 min per play</x:v>
      </x:c>
      <x:c r="AA803" s="9" t="str">
        <x:v>A 1930s airborne murder mystery told in watercolour animation, one of the CDTV launch discs.</x:v>
      </x:c>
      <x:c r="AB803" s="9" t="str">
        <x:v>None known</x:v>
      </x:c>
      <x:c r="AC803" s="9" t="str">
        <x:v>Animated stills and short animation streamed from CD with audio drama — verify</x:v>
      </x:c>
      <x:c r="AD803" s="9" t="str">
        <x:v>Easy to finish, hard to solve</x:v>
      </x:c>
      <x:c r="AE803" s="9" t="str">
        <x:v>Solve or fail the case; multiple accusations</x:v>
      </x:c>
      <x:c r="AF803" s="9" t="str">
        <x:v>Tiger Media published PC/Mac versions in 1992; the story plays out in real time aboard a flying boat (verify).</x:v>
      </x:c>
      <x:c r="AG803" s="9" t="str"/>
      <x:c r="AH803" s="9" t="str">
        <x:v>No</x:v>
      </x:c>
      <x:c r="AI803" s="9" t="str">
        <x:v>Easy</x:v>
      </x:c>
      <x:c r="AJ803" s="9" t="str">
        <x:v>Original CDTV (US/EU) or FS-UAE/WinUAE with CDTV emulation.</x:v>
      </x:c>
      <x:c r="AK803" s="9" t="str">
        <x:v>Listed in Wikipedia's CDTV games table. US publisher; na=true (verify CDTV US box). CD32 compatibility not confirmed.</x:v>
      </x:c>
      <x:c r="AL803" s="10"/>
      <x:c r="AM803" s="10"/>
      <x:c r="AN803" s="10"/>
      <x:c r="AO803" s="9"/>
      <x:c r="AP803" s="11" t="str">
        <x:f>HYPERLINK("https://www.pricecharting.com/search-products?q=The+Case+of+the+Cautious+Condor+amiga+cd32&amp;type=prices","PriceCharting")</x:f>
        <x:v>PriceCharting</x:v>
      </x:c>
      <x:c r="AQ803" s="9"/>
      <x:c r="AR803" s="9"/>
      <x:c r="AS803" s="9"/>
      <x:c r="AT803" s="9"/>
      <x:c r="AU803" s="9"/>
      <x:c r="AV803" s="9"/>
      <x:c r="AW803" s="9"/>
      <x:c r="AX803" s="9"/>
      <x:c r="AY803" s="9"/>
      <x:c r="AZ803" s="9"/>
      <x:c r="BA803" s="11" t="str">
        <x:f>HYPERLINK("https://www.mobygames.com/search/?q=The+Case+of+the+Cautious+Condor","MobyGames")</x:f>
        <x:v>MobyGames</x:v>
      </x:c>
      <x:c r="BB803" s="9"/>
      <x:c r="BC803" s="9"/>
      <x:c r="BD803" s="9"/>
      <x:c r="BE803" s="11" t="str">
        <x:f>HYPERLINK("https://en.wikipedia.org/wiki/The_Case_of_the_Cautious_Condor","Wikipedia")</x:f>
        <x:v>Wikipedia</x:v>
      </x:c>
      <x:c r="BF803" s="11" t="str">
        <x:f>HYPERLINK("https://backloggd.com/search/games/The%20Case%20of%20the%20Cautious%20Condor/","Backloggd")</x:f>
        <x:v>Backloggd</x:v>
      </x:c>
      <x:c r="BG803" s="9"/>
      <x:c r="BH803" s="9"/>
      <x:c r="BI803" s="12" t="str">
        <x:v>No</x:v>
      </x:c>
      <x:c r="BJ803" s="12" t="str"/>
      <x:c r="BK803" s="12" t="str">
        <x:v>No</x:v>
      </x:c>
      <x:c r="BL803" s="12" t="str"/>
      <x:c r="BM803" s="12" t="str"/>
      <x:c r="BN803" s="12" t="str"/>
      <x:c r="BO803" s="12" t="str"/>
      <x:c r="BP803" s="12" t="str"/>
      <x:c r="BQ803" s="12" t="str"/>
    </x:row>
    <x:row r="804">
      <x:c r="A804" s="9" t="str">
        <x:v>cd32-10</x:v>
      </x:c>
      <x:c r="B804" s="9" t="str">
        <x:v>eyes-of-the-eagle</x:v>
      </x:c>
      <x:c r="C804" s="9" t="str">
        <x:v>Amiga CD32</x:v>
      </x:c>
      <x:c r="D804" s="9" t="str">
        <x:v>Eyes of the Eagle</x:v>
      </x:c>
      <x:c r="E804" s="9" t="str">
        <x:v>Chaos in Andromeda: Eyes of the Eagle</x:v>
      </x:c>
      <x:c r="F804" s="9" t="str">
        <x:v>On-Line Entertainment</x:v>
      </x:c>
      <x:c r="G804" s="9" t="str">
        <x:v>On-Line Entertainment</x:v>
      </x:c>
      <x:c r="H804" s="9" t="n">
        <x:v>1992</x:v>
      </x:c>
      <x:c r="I804" s="9" t="str">
        <x:v>No</x:v>
      </x:c>
      <x:c r="J804" s="9" t="str">
        <x:v>No</x:v>
      </x:c>
      <x:c r="K804" s="9" t="str">
        <x:v>Yes</x:v>
      </x:c>
      <x:c r="L804" s="9" t="str">
        <x:v>No</x:v>
      </x:c>
      <x:c r="M804" s="9" t="str">
        <x:v>Adventure / RPG</x:v>
      </x:c>
      <x:c r="N804" s="9" t="str">
        <x:v>Pre-rendered CG</x:v>
      </x:c>
      <x:c r="O804" s="9" t="n">
        <x:v>3</x:v>
      </x:c>
      <x:c r="P804" s="9" t="str">
        <x:v>Cutscenes only</x:v>
      </x:c>
      <x:c r="Q804" s="9" t="str">
        <x:v>Released</x:v>
      </x:c>
      <x:c r="R804" s="9" t="str">
        <x:v>Amiga original (Chaos in Andromeda, 1991)</x:v>
      </x:c>
      <x:c r="S804" s="9" t="str">
        <x:v>Amiga (floppy)</x:v>
      </x:c>
      <x:c r="T804" s="9" t="str">
        <x:v>—</x:v>
      </x:c>
      <x:c r="U804" s="9" t="n">
        <x:v>1</x:v>
      </x:c>
      <x:c r="V804" s="9" t="str">
        <x:v>No</x:v>
      </x:c>
      <x:c r="W804" s="9" t="str">
        <x:v>CDTV remote/mouse</x:v>
      </x:c>
      <x:c r="X804" s="9" t="str">
        <x:v>Low</x:v>
      </x:c>
      <x:c r="Y804" s="9" t="str"/>
      <x:c r="Z804" s="9" t="str">
        <x:v>Unknown — verify</x:v>
      </x:c>
      <x:c r="AA804" s="9" t="str">
        <x:v>A CDTV-only space adventure that Wikipedia tags as one of the machine's two FMV games.</x:v>
      </x:c>
      <x:c r="AB804" s="9" t="str">
        <x:v>None known</x:v>
      </x:c>
      <x:c r="AC804" s="9" t="str">
        <x:v>FMV sequences (per Wikipedia CDTV table) — size and content unconfirmed — verify</x:v>
      </x:c>
      <x:c r="AD804" s="9" t="str">
        <x:v>Unknown — verify</x:v>
      </x:c>
      <x:c r="AE804" s="9" t="str">
        <x:v>Linear; one ending</x:v>
      </x:c>
      <x:c r="AF804" s="9"/>
      <x:c r="AG804" s="9" t="str"/>
      <x:c r="AH804" s="9" t="str">
        <x:v>No</x:v>
      </x:c>
      <x:c r="AI804" s="9" t="str">
        <x:v>Easy</x:v>
      </x:c>
      <x:c r="AJ804" s="9" t="str">
        <x:v>Original CDTV (US/EU) or FS-UAE/WinUAE with CDTV emulation.</x:v>
      </x:c>
      <x:c r="AK804" s="9" t="str">
        <x:v>Wikipedia CDTV table marks FMV + CD Audio. Exotica has a page. na=false (verify).</x:v>
      </x:c>
      <x:c r="AL804" s="10"/>
      <x:c r="AM804" s="10"/>
      <x:c r="AN804" s="10"/>
      <x:c r="AO804" s="9"/>
      <x:c r="AP804" s="11" t="str">
        <x:f>HYPERLINK("https://www.pricecharting.com/search-products?q=Eyes+of+the+Eagle+amiga+cd32&amp;type=prices","PriceCharting")</x:f>
        <x:v>PriceCharting</x:v>
      </x:c>
      <x:c r="AQ804" s="9"/>
      <x:c r="AR804" s="9"/>
      <x:c r="AS804" s="9"/>
      <x:c r="AT804" s="9"/>
      <x:c r="AU804" s="9"/>
      <x:c r="AV804" s="9"/>
      <x:c r="AW804" s="9"/>
      <x:c r="AX804" s="9"/>
      <x:c r="AY804" s="9"/>
      <x:c r="AZ804" s="9"/>
      <x:c r="BA804" s="11" t="str">
        <x:f>HYPERLINK("https://www.mobygames.com/search/?q=Eyes+of+the+Eagle","MobyGames")</x:f>
        <x:v>MobyGames</x:v>
      </x:c>
      <x:c r="BB804" s="9"/>
      <x:c r="BC804" s="9"/>
      <x:c r="BD804" s="9"/>
      <x:c r="BE804" s="9"/>
      <x:c r="BF804" s="11" t="str">
        <x:f>HYPERLINK("https://backloggd.com/search/games/Eyes%20of%20the%20Eagle/","Backloggd")</x:f>
        <x:v>Backloggd</x:v>
      </x:c>
      <x:c r="BG804" s="9"/>
      <x:c r="BH804" s="9"/>
      <x:c r="BI804" s="12" t="str">
        <x:v>No</x:v>
      </x:c>
      <x:c r="BJ804" s="12" t="str"/>
      <x:c r="BK804" s="12" t="str">
        <x:v>No</x:v>
      </x:c>
      <x:c r="BL804" s="12" t="str"/>
      <x:c r="BM804" s="12" t="str"/>
      <x:c r="BN804" s="12" t="str"/>
      <x:c r="BO804" s="12" t="str"/>
      <x:c r="BP804" s="12" t="str"/>
      <x:c r="BQ804" s="12" t="str"/>
    </x:row>
    <x:row r="805">
      <x:c r="A805" s="9" t="str">
        <x:v>ps1-109</x:v>
      </x:c>
      <x:c r="B805" s="9" t="str">
        <x:v>defcon-5</x:v>
      </x:c>
      <x:c r="C805" s="9" t="str">
        <x:v>PlayStation</x:v>
      </x:c>
      <x:c r="D805" s="9" t="str">
        <x:v>Defcon 5</x:v>
      </x:c>
      <x:c r="E805" s="9" t="str"/>
      <x:c r="F805" s="9" t="str">
        <x:v>Millennium Interactive</x:v>
      </x:c>
      <x:c r="G805" s="9" t="str">
        <x:v>Data East (NA); Psygnosis (EU); Multisoft (JP)</x:v>
      </x:c>
      <x:c r="H805" s="9" t="n">
        <x:v>1996</x:v>
      </x:c>
      <x:c r="I805" s="9" t="str">
        <x:v>Yes</x:v>
      </x:c>
      <x:c r="J805" s="9" t="str">
        <x:v>No</x:v>
      </x:c>
      <x:c r="K805" s="9" t="str">
        <x:v>Yes</x:v>
      </x:c>
      <x:c r="L805" s="9" t="str">
        <x:v>No</x:v>
      </x:c>
      <x:c r="M805" s="9" t="str">
        <x:v>First-person sci-fi strategy/action</x:v>
      </x:c>
      <x:c r="N805" s="9" t="str">
        <x:v>Pre-rendered CG</x:v>
      </x:c>
      <x:c r="O805" s="9" t="n">
        <x:v>3</x:v>
      </x:c>
      <x:c r="P805" s="9" t="str">
        <x:v>Pre-rendered CG</x:v>
      </x:c>
      <x:c r="Q805" s="9" t="str">
        <x:v>Released</x:v>
      </x:c>
      <x:c r="R805" s="9" t="str">
        <x:v>3DO/PC original (1995)</x:v>
      </x:c>
      <x:c r="S805" s="9" t="str">
        <x:v>3DO, DOS</x:v>
      </x:c>
      <x:c r="T805" s="9" t="str">
        <x:v>—</x:v>
      </x:c>
      <x:c r="U805" s="9" t="n">
        <x:v>1</x:v>
      </x:c>
      <x:c r="V805" s="9" t="str">
        <x:v>Yes (memory card, 1 block)</x:v>
      </x:c>
      <x:c r="W805" s="9" t="str">
        <x:v>Standard controller</x:v>
      </x:c>
      <x:c r="X805" s="9" t="str">
        <x:v>Low</x:v>
      </x:c>
      <x:c r="Y805" s="9" t="str"/>
      <x:c r="Z805" s="9" t="str">
        <x:v>Unknown — verify</x:v>
      </x:c>
      <x:c r="AA805" s="9" t="str">
        <x:v>A lonely engineer defending a remote base, with CG video calls breaking up the 3D corridors.</x:v>
      </x:c>
      <x:c r="AB805" s="9" t="str">
        <x:v>None known</x:v>
      </x:c>
      <x:c r="AC805" s="9" t="str">
        <x:v>Pre-rendered CG FMV intro and cinematic sequences, as on Saturn; gameplay real-time 3D (verify LIMO transit sequences)</x:v>
      </x:c>
      <x:c r="AD805" s="9" t="str">
        <x:v>Unknown — verify</x:v>
      </x:c>
      <x:c r="AE805" s="9" t="str">
        <x:v>Unknown — verify</x:v>
      </x:c>
      <x:c r="AF805" s="9" t="str"/>
      <x:c r="AG805" s="9" t="str">
        <x:v>Unknown — verify</x:v>
      </x:c>
      <x:c r="AH805" s="9" t="str">
        <x:v>No</x:v>
      </x:c>
      <x:c r="AI805" s="9"/>
      <x:c r="AJ805" s="9"/>
      <x:c r="AK805" s="9" t="str">
        <x:v>Saturn version is in the index with the same video; added for consistency (borderline review, Oct 2026).</x:v>
      </x:c>
      <x:c r="AL805" s="10" t="n">
        <x:v>8.59</x:v>
      </x:c>
      <x:c r="AM805" s="10" t="n">
        <x:v>19.98</x:v>
      </x:c>
      <x:c r="AN805" s="10" t="n">
        <x:v>61.53</x:v>
      </x:c>
      <x:c r="AO805" s="9" t="str">
        <x:v>2026-10-21</x:v>
      </x:c>
      <x:c r="AP805" s="11" t="str">
        <x:f>HYPERLINK("https://www.pricecharting.com/game/playstation/defcon-5","PriceCharting")</x:f>
        <x:v>PriceCharting</x:v>
      </x:c>
      <x:c r="AQ805" s="9"/>
      <x:c r="AR805" s="9"/>
      <x:c r="AS805" s="9"/>
      <x:c r="AT805" s="9"/>
      <x:c r="AU805" s="9"/>
      <x:c r="AV805" s="9"/>
      <x:c r="AW805" s="9"/>
      <x:c r="AX805" s="9"/>
      <x:c r="AY805" s="9" t="str">
        <x:v>71%</x:v>
      </x:c>
      <x:c r="AZ805" s="9" t="str">
        <x:v>3.8</x:v>
      </x:c>
      <x:c r="BA805" s="11" t="str">
        <x:f>HYPERLINK("https://www.mobygames.com/search/?q=Defcon+5","MobyGames")</x:f>
        <x:v>MobyGames</x:v>
      </x:c>
      <x:c r="BB805" s="9"/>
      <x:c r="BC805" s="9"/>
      <x:c r="BD805" s="9"/>
      <x:c r="BE805" s="11" t="str">
        <x:f>HYPERLINK("https://en.wikipedia.org/wiki/Defcon_5_(video_game)","Wikipedia")</x:f>
        <x:v>Wikipedia</x:v>
      </x:c>
      <x:c r="BF805" s="11" t="str">
        <x:f>HYPERLINK("https://backloggd.com/search/games/Defcon%205/","Backloggd")</x:f>
        <x:v>Backloggd</x:v>
      </x:c>
      <x:c r="BG805" s="9"/>
      <x:c r="BH805" s="9"/>
      <x:c r="BI805" s="12" t="str">
        <x:v>No</x:v>
      </x:c>
      <x:c r="BJ805" s="12" t="str"/>
      <x:c r="BK805" s="12" t="str">
        <x:v>No</x:v>
      </x:c>
      <x:c r="BL805" s="12" t="str"/>
      <x:c r="BM805" s="12" t="str"/>
      <x:c r="BN805" s="12" t="str"/>
      <x:c r="BO805" s="12" t="str"/>
      <x:c r="BP805" s="12" t="str"/>
      <x:c r="BQ805" s="12" t="str"/>
    </x:row>
    <x:row r="806">
      <x:c r="A806" s="9" t="str">
        <x:v>ps1-110</x:v>
      </x:c>
      <x:c r="B806" s="9" t="str">
        <x:v>blazing-dragons</x:v>
      </x:c>
      <x:c r="C806" s="9" t="str">
        <x:v>PlayStation</x:v>
      </x:c>
      <x:c r="D806" s="9" t="str">
        <x:v>Blazing Dragons</x:v>
      </x:c>
      <x:c r="E806" s="9" t="str"/>
      <x:c r="F806" s="9" t="str">
        <x:v>The Illusions Gaming Company</x:v>
      </x:c>
      <x:c r="G806" s="9" t="str">
        <x:v>Crystal Dynamics (NA), BMG Interactive (EU) (verify)</x:v>
      </x:c>
      <x:c r="H806" s="9" t="n">
        <x:v>1996</x:v>
      </x:c>
      <x:c r="I806" s="9" t="str">
        <x:v>Yes</x:v>
      </x:c>
      <x:c r="J806" s="9" t="str">
        <x:v>No</x:v>
      </x:c>
      <x:c r="K806" s="9" t="str">
        <x:v>Yes</x:v>
      </x:c>
      <x:c r="L806" s="9" t="str">
        <x:v>No</x:v>
      </x:c>
      <x:c r="M806" s="9" t="str">
        <x:v>Comedy point-and-click adventure</x:v>
      </x:c>
      <x:c r="N806" s="9" t="str">
        <x:v>Animated</x:v>
      </x:c>
      <x:c r="O806" s="9" t="n">
        <x:v>3</x:v>
      </x:c>
      <x:c r="P806" s="9" t="str">
        <x:v>Cutscenes only</x:v>
      </x:c>
      <x:c r="Q806" s="9" t="str">
        <x:v>Released</x:v>
      </x:c>
      <x:c r="R806" s="9" t="str">
        <x:v>Terry Jones's Blazing Dragons concept</x:v>
      </x:c>
      <x:c r="S806" s="9" t="str">
        <x:v>Saturn</x:v>
      </x:c>
      <x:c r="T806" s="9" t="str">
        <x:v>Voices: Terry Jones, Cheech Marin, Harry Shearer, Jim Cummings, Jeff Bennett, Kath Soucie, B. J. Ward, Roger Rose, Michael Bell, Brian George, Rob Paulsen, Robert Ridgely, Jess Harnell, Gregg Berger, Charlie Adler</x:v>
      </x:c>
      <x:c r="U806" s="9" t="n">
        <x:v>1</x:v>
      </x:c>
      <x:c r="V806" s="9" t="str">
        <x:v>Yes</x:v>
      </x:c>
      <x:c r="W806" s="9" t="str">
        <x:v>Memory card; PlayStation Mouse support (verify)</x:v>
      </x:c>
      <x:c r="X806" s="9" t="str">
        <x:v>Low</x:v>
      </x:c>
      <x:c r="Y806" s="9" t="str"/>
      <x:c r="Z806" s="9" t="str">
        <x:v>6–10 hr</x:v>
      </x:c>
      <x:c r="AA806" s="9" t="str">
        <x:v>Terry Jones's Arthurian parody where the dragons are the good guys.</x:v>
      </x:c>
      <x:c r="AB806" s="9" t="str">
        <x:v>None known</x:v>
      </x:c>
      <x:c r="AC806" s="9" t="str">
        <x:v>Animated cartoon cutscenes streamed from disc, as on Saturn (verify how much is in-engine)</x:v>
      </x:c>
      <x:c r="AD806" s="9" t="str">
        <x:v>Moderate</x:v>
      </x:c>
      <x:c r="AE806" s="9" t="str">
        <x:v>Single ending</x:v>
      </x:c>
      <x:c r="AF806" s="9" t="str">
        <x:v>Spun off into a 1996 animated TV series.</x:v>
      </x:c>
      <x:c r="AG806" s="9" t="str"/>
      <x:c r="AH806" s="9" t="str">
        <x:v>No</x:v>
      </x:c>
      <x:c r="AI806" s="9"/>
      <x:c r="AJ806" s="9"/>
      <x:c r="AK806" s="9" t="str">
        <x:v>Saturn version is in the index with the same video; added for consistency (borderline review, Oct 2026).</x:v>
      </x:c>
      <x:c r="AL806" s="10" t="n">
        <x:v>13.54</x:v>
      </x:c>
      <x:c r="AM806" s="10" t="n">
        <x:v>25.24</x:v>
      </x:c>
      <x:c r="AN806" s="10" t="n">
        <x:v>129.04</x:v>
      </x:c>
      <x:c r="AO806" s="9" t="str">
        <x:v>2026-10-21</x:v>
      </x:c>
      <x:c r="AP806" s="11" t="str">
        <x:f>HYPERLINK("https://www.pricecharting.com/game/playstation/blazing-dragons","PriceCharting")</x:f>
        <x:v>PriceCharting</x:v>
      </x:c>
      <x:c r="AQ806" s="9"/>
      <x:c r="AR806" s="9"/>
      <x:c r="AS806" s="9"/>
      <x:c r="AT806" s="9"/>
      <x:c r="AU806" s="9"/>
      <x:c r="AV806" s="9"/>
      <x:c r="AW806" s="9"/>
      <x:c r="AX806" s="9"/>
      <x:c r="AY806" s="9"/>
      <x:c r="AZ806" s="9"/>
      <x:c r="BA806" s="11" t="str">
        <x:f>HYPERLINK("https://www.mobygames.com/game/8513/blazing-dragons/","MobyGames")</x:f>
        <x:v>MobyGames</x:v>
      </x:c>
      <x:c r="BB806" s="9" t="str">
        <x:v>68%</x:v>
      </x:c>
      <x:c r="BC806" s="9" t="str">
        <x:v>GameRankings, 4 reviews</x:v>
      </x:c>
      <x:c r="BD806" s="9" t="str">
        <x:f>HYPERLINK("https://web.archive.org/web/20191209011249id_/https://www.gamerankings.com/ps/196779-blazing-dragons/","Source")</x:f>
        <x:v>Source</x:v>
      </x:c>
      <x:c r="BE806" s="11" t="str">
        <x:f>HYPERLINK("https://en.wikipedia.org/wiki/Blazing_Dragons_(video_game)","Wikipedia")</x:f>
        <x:v>Wikipedia</x:v>
      </x:c>
      <x:c r="BF806" s="11" t="str">
        <x:f>HYPERLINK("https://backloggd.com/search/games/Blazing%20Dragons/","Backloggd")</x:f>
        <x:v>Backloggd</x:v>
      </x:c>
      <x:c r="BG806" s="9"/>
      <x:c r="BH806" s="9"/>
      <x:c r="BI806" s="12" t="str">
        <x:v>No</x:v>
      </x:c>
      <x:c r="BJ806" s="12" t="str"/>
      <x:c r="BK806" s="12" t="str">
        <x:v>No</x:v>
      </x:c>
      <x:c r="BL806" s="12" t="str"/>
      <x:c r="BM806" s="12" t="str"/>
      <x:c r="BN806" s="12" t="str"/>
      <x:c r="BO806" s="12" t="str"/>
      <x:c r="BP806" s="12" t="str"/>
      <x:c r="BQ806" s="12" t="str"/>
    </x:row>
    <x:row r="807">
      <x:c r="A807" s="9" t="str">
        <x:v>ps1-111</x:v>
      </x:c>
      <x:c r="B807" s="9" t="str">
        <x:v>thunderhawk-ii</x:v>
      </x:c>
      <x:c r="C807" s="9" t="str">
        <x:v>PlayStation</x:v>
      </x:c>
      <x:c r="D807" s="9" t="str">
        <x:v>Thunderhawk 2: Firestorm</x:v>
      </x:c>
      <x:c r="E807" s="9" t="str">
        <x:v>Firestorm: Thunderhawk 2 (NA)</x:v>
      </x:c>
      <x:c r="F807" s="9" t="str">
        <x:v>Core Design</x:v>
      </x:c>
      <x:c r="G807" s="9" t="str">
        <x:v>Core Design (EU), BMG Interactive (NA, verify)</x:v>
      </x:c>
      <x:c r="H807" s="9" t="n">
        <x:v>1995</x:v>
      </x:c>
      <x:c r="I807" s="9" t="str">
        <x:v>Yes</x:v>
      </x:c>
      <x:c r="J807" s="9" t="str">
        <x:v>Yes</x:v>
      </x:c>
      <x:c r="K807" s="9" t="str">
        <x:v>Yes</x:v>
      </x:c>
      <x:c r="L807" s="9" t="str">
        <x:v>No</x:v>
      </x:c>
      <x:c r="M807" s="9" t="str">
        <x:v>Helicopter action</x:v>
      </x:c>
      <x:c r="N807" s="9" t="str">
        <x:v>Pre-rendered CG</x:v>
      </x:c>
      <x:c r="O807" s="9" t="n">
        <x:v>3</x:v>
      </x:c>
      <x:c r="P807" s="9" t="str">
        <x:v>Cutscenes only</x:v>
      </x:c>
      <x:c r="Q807" s="9" t="str">
        <x:v>Released</x:v>
      </x:c>
      <x:c r="R807" s="9" t="str">
        <x:v>Original production</x:v>
      </x:c>
      <x:c r="S807" s="9" t="str">
        <x:v>Saturn, PC</x:v>
      </x:c>
      <x:c r="T807" s="9" t="str">
        <x:v>—</x:v>
      </x:c>
      <x:c r="U807" s="9" t="n">
        <x:v>1</x:v>
      </x:c>
      <x:c r="V807" s="9" t="str">
        <x:v>Yes</x:v>
      </x:c>
      <x:c r="W807" s="9" t="str">
        <x:v>Memory card</x:v>
      </x:c>
      <x:c r="X807" s="9" t="str">
        <x:v>Low</x:v>
      </x:c>
      <x:c r="Y807" s="9" t="str"/>
      <x:c r="Z807" s="9" t="str">
        <x:v>Unknown — verify</x:v>
      </x:c>
      <x:c r="AA807" s="9" t="str"/>
      <x:c r="AB807" s="9" t="str">
        <x:v>None known</x:v>
      </x:c>
      <x:c r="AC807" s="9" t="str">
        <x:v>FMV mission briefings and cutscenes, as on Saturn (verify live-action vs. CG)</x:v>
      </x:c>
      <x:c r="AD807" s="9" t="str"/>
      <x:c r="AE807" s="9" t="str">
        <x:v>Single ending</x:v>
      </x:c>
      <x:c r="AF807" s="9" t="str"/>
      <x:c r="AG807" s="9" t="str"/>
      <x:c r="AH807" s="9" t="str">
        <x:v>No</x:v>
      </x:c>
      <x:c r="AI807" s="9"/>
      <x:c r="AJ807" s="9"/>
      <x:c r="AK807" s="9" t="str">
        <x:v>Saturn version is in the index with the same video; added for consistency (borderline review, Oct 2026). Saturn title: Thunderhawk II.</x:v>
      </x:c>
      <x:c r="AL807" s="10" t="n">
        <x:v>3.33</x:v>
      </x:c>
      <x:c r="AM807" s="10" t="n">
        <x:v>4.56</x:v>
      </x:c>
      <x:c r="AN807" s="10" t="n">
        <x:v>12</x:v>
      </x:c>
      <x:c r="AO807" s="9" t="str">
        <x:v>2026-10-21</x:v>
      </x:c>
      <x:c r="AP807" s="11" t="str">
        <x:f>HYPERLINK("https://www.pricecharting.com/search-products?q=Thunderhawk+2%3A+Firestorm+playstation&amp;type=prices","PriceCharting")</x:f>
        <x:v>PriceCharting</x:v>
      </x:c>
      <x:c r="AQ807" s="9"/>
      <x:c r="AR807" s="9"/>
      <x:c r="AS807" s="9"/>
      <x:c r="AT807" s="9"/>
      <x:c r="AU807" s="9"/>
      <x:c r="AV807" s="9"/>
      <x:c r="AW807" s="9"/>
      <x:c r="AX807" s="9"/>
      <x:c r="AY807" s="9"/>
      <x:c r="AZ807" s="9"/>
      <x:c r="BA807" s="11" t="str">
        <x:f>HYPERLINK("https://www.mobygames.com/search/?q=Thunderhawk+2%3A+Firestorm","MobyGames")</x:f>
        <x:v>MobyGames</x:v>
      </x:c>
      <x:c r="BB807" s="9" t="str">
        <x:v>85%</x:v>
      </x:c>
      <x:c r="BC807" s="9" t="str">
        <x:v>average of 1 review on Wikipedia (Play)</x:v>
      </x:c>
      <x:c r="BD807" s="9" t="str">
        <x:f>HYPERLINK("https://en.wikipedia.org/wiki/Firestorm%3A_Thunderhawk_2","Source")</x:f>
        <x:v>Source</x:v>
      </x:c>
      <x:c r="BE807" s="11" t="str">
        <x:f>HYPERLINK("https://en.wikipedia.org/wiki/Thunderhawk_2:_Firestorm","Wikipedia")</x:f>
        <x:v>Wikipedia</x:v>
      </x:c>
      <x:c r="BF807" s="11" t="str">
        <x:f>HYPERLINK("https://backloggd.com/search/games/Thunderhawk%202%3A%20Firestorm/","Backloggd")</x:f>
        <x:v>Backloggd</x:v>
      </x:c>
      <x:c r="BG807" s="9"/>
      <x:c r="BH807" s="9"/>
      <x:c r="BI807" s="12" t="str">
        <x:v>No</x:v>
      </x:c>
      <x:c r="BJ807" s="12" t="str"/>
      <x:c r="BK807" s="12" t="str">
        <x:v>No</x:v>
      </x:c>
      <x:c r="BL807" s="12" t="str"/>
      <x:c r="BM807" s="12" t="str"/>
      <x:c r="BN807" s="12" t="str"/>
      <x:c r="BO807" s="12" t="str"/>
      <x:c r="BP807" s="12" t="str"/>
      <x:c r="BQ807" s="12" t="str"/>
    </x:row>
    <x:row r="808">
      <x:c r="A808" s="9" t="str">
        <x:v>ps1-112</x:v>
      </x:c>
      <x:c r="B808" s="9" t="str">
        <x:v>independence-day</x:v>
      </x:c>
      <x:c r="C808" s="9" t="str">
        <x:v>PlayStation</x:v>
      </x:c>
      <x:c r="D808" s="9" t="str">
        <x:v>Independence Day</x:v>
      </x:c>
      <x:c r="E808" s="9" t="str"/>
      <x:c r="F808" s="9" t="str">
        <x:v>Radical Entertainment</x:v>
      </x:c>
      <x:c r="G808" s="9" t="str">
        <x:v>Fox Interactive</x:v>
      </x:c>
      <x:c r="H808" s="9" t="n">
        <x:v>1997</x:v>
      </x:c>
      <x:c r="I808" s="9" t="str">
        <x:v>Yes</x:v>
      </x:c>
      <x:c r="J808" s="9" t="str">
        <x:v>No</x:v>
      </x:c>
      <x:c r="K808" s="9" t="str">
        <x:v>Yes</x:v>
      </x:c>
      <x:c r="L808" s="9" t="str">
        <x:v>No</x:v>
      </x:c>
      <x:c r="M808" s="9" t="str">
        <x:v>Flight action</x:v>
      </x:c>
      <x:c r="N808" s="9" t="str">
        <x:v>Live-action</x:v>
      </x:c>
      <x:c r="O808" s="9" t="n">
        <x:v>2</x:v>
      </x:c>
      <x:c r="P808" s="9" t="str">
        <x:v>Cutscenes only</x:v>
      </x:c>
      <x:c r="Q808" s="9" t="str">
        <x:v>Released</x:v>
      </x:c>
      <x:c r="R808" s="9" t="str">
        <x:v>Film license (Independence Day, 1996)</x:v>
      </x:c>
      <x:c r="S808" s="9" t="str">
        <x:v>Saturn, PC</x:v>
      </x:c>
      <x:c r="T808" s="9" t="str">
        <x:v>Film footage from Independence Day (verify)</x:v>
      </x:c>
      <x:c r="U808" s="9" t="n">
        <x:v>1</x:v>
      </x:c>
      <x:c r="V808" s="9" t="str">
        <x:v>Yes</x:v>
      </x:c>
      <x:c r="W808" s="9" t="str">
        <x:v>Memory card</x:v>
      </x:c>
      <x:c r="X808" s="9" t="str">
        <x:v>HIGH</x:v>
      </x:c>
      <x:c r="Y808" s="9" t="str">
        <x:v>Licensed film footage and score</x:v>
      </x:c>
      <x:c r="Z808" s="9" t="str">
        <x:v>3–5 hr</x:v>
      </x:c>
      <x:c r="AA808" s="9" t="str">
        <x:v>Licensed clips from the summer's biggest blockbuster stitched into a flight shooter.</x:v>
      </x:c>
      <x:c r="AB808" s="9" t="str">
        <x:v>None known</x:v>
      </x:c>
      <x:c r="AC808" s="9" t="str">
        <x:v>Film clips in a window between missions (verify, same open question as the Saturn record)</x:v>
      </x:c>
      <x:c r="AD808" s="9" t="str">
        <x:v>Medium</x:v>
      </x:c>
      <x:c r="AE808" s="9" t="str">
        <x:v>Single ending</x:v>
      </x:c>
      <x:c r="AF808" s="9" t="str"/>
      <x:c r="AG808" s="9" t="str"/>
      <x:c r="AH808" s="9" t="str">
        <x:v>No</x:v>
      </x:c>
      <x:c r="AI808" s="9"/>
      <x:c r="AJ808" s="9"/>
      <x:c r="AK808" s="9" t="str">
        <x:v>Saturn version is in the index with the same video; added for consistency (borderline review, Oct 2026). If a capture shows no film footage, drop both versions.</x:v>
      </x:c>
      <x:c r="AL808" s="10" t="n">
        <x:v>8.29</x:v>
      </x:c>
      <x:c r="AM808" s="10" t="n">
        <x:v>12.87</x:v>
      </x:c>
      <x:c r="AN808" s="10" t="n">
        <x:v>65.1</x:v>
      </x:c>
      <x:c r="AO808" s="9" t="str">
        <x:v>2026-10-21</x:v>
      </x:c>
      <x:c r="AP808" s="11" t="str">
        <x:f>HYPERLINK("https://www.pricecharting.com/game/playstation/independence-day","PriceCharting")</x:f>
        <x:v>PriceCharting</x:v>
      </x:c>
      <x:c r="AQ808" s="9"/>
      <x:c r="AR808" s="9"/>
      <x:c r="AS808" s="9"/>
      <x:c r="AT808" s="9"/>
      <x:c r="AU808" s="9"/>
      <x:c r="AV808" s="9"/>
      <x:c r="AW808" s="9"/>
      <x:c r="AX808" s="9"/>
      <x:c r="AY808" s="9" t="str">
        <x:v>48%</x:v>
      </x:c>
      <x:c r="AZ808" s="9" t="str">
        <x:v>1.8</x:v>
      </x:c>
      <x:c r="BA808" s="11" t="str">
        <x:f>HYPERLINK("https://www.mobygames.com/search/?q=Independence+Day","MobyGames")</x:f>
        <x:v>MobyGames</x:v>
      </x:c>
      <x:c r="BB808" s="9"/>
      <x:c r="BC808" s="9"/>
      <x:c r="BD808" s="9"/>
      <x:c r="BE808" s="11" t="str">
        <x:f>HYPERLINK("https://en.wikipedia.org/wiki/Independence_Day_(video_game)","Wikipedia")</x:f>
        <x:v>Wikipedia</x:v>
      </x:c>
      <x:c r="BF808" s="11" t="str">
        <x:f>HYPERLINK("https://backloggd.com/search/games/Independence%20Day/","Backloggd")</x:f>
        <x:v>Backloggd</x:v>
      </x:c>
      <x:c r="BG808" s="9"/>
      <x:c r="BH808" s="9"/>
      <x:c r="BI808" s="12" t="str">
        <x:v>No</x:v>
      </x:c>
      <x:c r="BJ808" s="12" t="str"/>
      <x:c r="BK808" s="12" t="str">
        <x:v>No</x:v>
      </x:c>
      <x:c r="BL808" s="12" t="str"/>
      <x:c r="BM808" s="12" t="str"/>
      <x:c r="BN808" s="12" t="str"/>
      <x:c r="BO808" s="12" t="str"/>
      <x:c r="BP808" s="12" t="str"/>
      <x:c r="BQ808" s="12" t="str"/>
    </x:row>
    <x:row r="809">
      <x:c r="A809" s="9" t="str">
        <x:v>ps1-113</x:v>
      </x:c>
      <x:c r="B809" s="9" t="str">
        <x:v>mega-man-x4</x:v>
      </x:c>
      <x:c r="C809" s="9" t="str">
        <x:v>PlayStation</x:v>
      </x:c>
      <x:c r="D809" s="9" t="str">
        <x:v>Mega Man X4</x:v>
      </x:c>
      <x:c r="E809" s="9" t="str">
        <x:v>Rockman X4 (JP)</x:v>
      </x:c>
      <x:c r="F809" s="9" t="str">
        <x:v>Capcom</x:v>
      </x:c>
      <x:c r="G809" s="9" t="str">
        <x:v>Capcom (JP/NA), Virgin (EU)</x:v>
      </x:c>
      <x:c r="H809" s="9" t="n">
        <x:v>1997</x:v>
      </x:c>
      <x:c r="I809" s="9" t="str">
        <x:v>Yes</x:v>
      </x:c>
      <x:c r="J809" s="9" t="str">
        <x:v>Yes</x:v>
      </x:c>
      <x:c r="K809" s="9" t="str">
        <x:v>Yes</x:v>
      </x:c>
      <x:c r="L809" s="9" t="str">
        <x:v>No</x:v>
      </x:c>
      <x:c r="M809" s="9" t="str">
        <x:v>Action platformer</x:v>
      </x:c>
      <x:c r="N809" s="9" t="str">
        <x:v>Animated</x:v>
      </x:c>
      <x:c r="O809" s="9" t="n">
        <x:v>2</x:v>
      </x:c>
      <x:c r="P809" s="9" t="str">
        <x:v>Cutscenes only</x:v>
      </x:c>
      <x:c r="Q809" s="9" t="str">
        <x:v>Released</x:v>
      </x:c>
      <x:c r="R809" s="9" t="str">
        <x:v>Original production</x:v>
      </x:c>
      <x:c r="S809" s="9" t="str">
        <x:v>Saturn, Windows, Mega Man X Legacy Collection</x:v>
      </x:c>
      <x:c r="T809" s="9" t="str">
        <x:v>—</x:v>
      </x:c>
      <x:c r="U809" s="9" t="n">
        <x:v>1</x:v>
      </x:c>
      <x:c r="V809" s="9" t="str">
        <x:v>Yes</x:v>
      </x:c>
      <x:c r="W809" s="9" t="str">
        <x:v>Memory card</x:v>
      </x:c>
      <x:c r="X809" s="9" t="str">
        <x:v>Low</x:v>
      </x:c>
      <x:c r="Y809" s="9" t="str"/>
      <x:c r="Z809" s="9" t="str">
        <x:v>2–4 hr</x:v>
      </x:c>
      <x:c r="AA809" s="9" t="str">
        <x:v>The first X game with anime FMV cutscenes, home of the infamous 'What am I fighting for?!' English dub.</x:v>
      </x:c>
      <x:c r="AB809" s="9" t="str">
        <x:v>None known</x:v>
      </x:c>
      <x:c r="AC809" s="9" t="str">
        <x:v>Full-screen anime cutscenes by Xebec (verify studio), short and compressed</x:v>
      </x:c>
      <x:c r="AD809" s="9" t="str">
        <x:v>Moderate</x:v>
      </x:c>
      <x:c r="AE809" s="9" t="str">
        <x:v>Two routes (X and Zero) with different cutscenes</x:v>
      </x:c>
      <x:c r="AF809" s="9" t="str">
        <x:v>The English dub of the anime scenes became a meme.</x:v>
      </x:c>
      <x:c r="AG809" s="9" t="str">
        <x:v>Unknown — verify</x:v>
      </x:c>
      <x:c r="AH809" s="9" t="str">
        <x:v>Yes (Mega Man X Legacy Collection, 2018: PS4, Switch, Xbox One, Steam; the PlayStation version with its anime cutscenes)</x:v>
      </x:c>
      <x:c r="AI809" s="9"/>
      <x:c r="AJ809" s="9"/>
      <x:c r="AK809" s="9" t="str">
        <x:v>Saturn version is in the index; the PlayStation anime cutscenes are the better-quality ones. Added for consistency (borderline review, Oct 2026).</x:v>
      </x:c>
      <x:c r="AL809" s="10" t="n">
        <x:v>12.97</x:v>
      </x:c>
      <x:c r="AM809" s="10" t="n">
        <x:v>35</x:v>
      </x:c>
      <x:c r="AN809" s="10" t="n">
        <x:v>84.95</x:v>
      </x:c>
      <x:c r="AO809" s="9" t="str">
        <x:v>2026-10-21</x:v>
      </x:c>
      <x:c r="AP809" s="11" t="str">
        <x:f>HYPERLINK("https://www.pricecharting.com/game/playstation/mega-man-x4","PriceCharting")</x:f>
        <x:v>PriceCharting</x:v>
      </x:c>
      <x:c r="AQ809" s="9"/>
      <x:c r="AR809" s="9"/>
      <x:c r="AS809" s="9"/>
      <x:c r="AT809" s="9"/>
      <x:c r="AU809" s="9"/>
      <x:c r="AV809" s="9"/>
      <x:c r="AW809" s="9"/>
      <x:c r="AX809" s="9"/>
      <x:c r="AY809" s="9" t="str">
        <x:v>81%</x:v>
      </x:c>
      <x:c r="AZ809" s="9" t="str">
        <x:v>4.0</x:v>
      </x:c>
      <x:c r="BA809" s="11" t="str">
        <x:f>HYPERLINK("https://www.mobygames.com/search/?q=Mega+Man+X4","MobyGames")</x:f>
        <x:v>MobyGames</x:v>
      </x:c>
      <x:c r="BB809" s="9"/>
      <x:c r="BC809" s="9"/>
      <x:c r="BD809" s="9"/>
      <x:c r="BE809" s="11" t="str">
        <x:f>HYPERLINK("https://en.wikipedia.org/wiki/Mega_Man_X4","Wikipedia")</x:f>
        <x:v>Wikipedia</x:v>
      </x:c>
      <x:c r="BF809" s="11" t="str">
        <x:f>HYPERLINK("https://backloggd.com/search/games/Mega%20Man%20X4/","Backloggd")</x:f>
        <x:v>Backloggd</x:v>
      </x:c>
      <x:c r="BG809" s="9"/>
      <x:c r="BH809" s="9"/>
      <x:c r="BI809" s="12" t="str">
        <x:v>No</x:v>
      </x:c>
      <x:c r="BJ809" s="12" t="str"/>
      <x:c r="BK809" s="12" t="str">
        <x:v>No</x:v>
      </x:c>
      <x:c r="BL809" s="12" t="str"/>
      <x:c r="BM809" s="12" t="str"/>
      <x:c r="BN809" s="12" t="str"/>
      <x:c r="BO809" s="12" t="str"/>
      <x:c r="BP809" s="12" t="str"/>
      <x:c r="BQ809" s="12" t="str"/>
    </x:row>
    <x:row r="810">
      <x:c r="A810" s="9" t="str">
        <x:v>ps1-114</x:v>
      </x:c>
      <x:c r="B810" s="9" t="str">
        <x:v>mega-man-8</x:v>
      </x:c>
      <x:c r="C810" s="9" t="str">
        <x:v>PlayStation</x:v>
      </x:c>
      <x:c r="D810" s="9" t="str">
        <x:v>Mega Man 8</x:v>
      </x:c>
      <x:c r="E810" s="9" t="str">
        <x:v>Rockman 8: Metal Heroes (JP)</x:v>
      </x:c>
      <x:c r="F810" s="9" t="str">
        <x:v>Capcom</x:v>
      </x:c>
      <x:c r="G810" s="9" t="str">
        <x:v>Capcom (JP/NA), Virgin Interactive (EU)</x:v>
      </x:c>
      <x:c r="H810" s="9" t="n">
        <x:v>1996</x:v>
      </x:c>
      <x:c r="I810" s="9" t="str">
        <x:v>Yes</x:v>
      </x:c>
      <x:c r="J810" s="9" t="str">
        <x:v>Yes</x:v>
      </x:c>
      <x:c r="K810" s="9" t="str">
        <x:v>Yes</x:v>
      </x:c>
      <x:c r="L810" s="9" t="str">
        <x:v>No</x:v>
      </x:c>
      <x:c r="M810" s="9" t="str">
        <x:v>Action platformer</x:v>
      </x:c>
      <x:c r="N810" s="9" t="str">
        <x:v>Animated</x:v>
      </x:c>
      <x:c r="O810" s="9" t="n">
        <x:v>2</x:v>
      </x:c>
      <x:c r="P810" s="9" t="str">
        <x:v>Cutscenes only</x:v>
      </x:c>
      <x:c r="Q810" s="9" t="str">
        <x:v>Released</x:v>
      </x:c>
      <x:c r="R810" s="9" t="str">
        <x:v>Original production (Mega Man series)</x:v>
      </x:c>
      <x:c r="S810" s="9" t="str">
        <x:v>Saturn</x:v>
      </x:c>
      <x:c r="T810" s="9" t="str">
        <x:v>English dub cast (uncredited — verify)</x:v>
      </x:c>
      <x:c r="U810" s="9" t="n">
        <x:v>1</x:v>
      </x:c>
      <x:c r="V810" s="9" t="str">
        <x:v>No (verify)</x:v>
      </x:c>
      <x:c r="W810" s="9" t="str">
        <x:v>Standard controller</x:v>
      </x:c>
      <x:c r="X810" s="9" t="str">
        <x:v>Low</x:v>
      </x:c>
      <x:c r="Y810" s="9" t="str"/>
      <x:c r="Z810" s="9" t="str">
        <x:v>2–3 hr</x:v>
      </x:c>
      <x:c r="AA810" s="9" t="str">
        <x:v>The anime cutscenes and their famously stilted English dub ("Dr. Wily!") are a series meme.</x:v>
      </x:c>
      <x:c r="AB810" s="9" t="str">
        <x:v>None known</x:v>
      </x:c>
      <x:c r="AC810" s="9" t="str">
        <x:v>Animated FMV cutscenes by Xebec, small window; the PlayStation copies are cleaner than the Saturn's (verify studio)</x:v>
      </x:c>
      <x:c r="AD810" s="9" t="str">
        <x:v>Moderate; the snowboard stages are the hard part</x:v>
      </x:c>
      <x:c r="AE810" s="9" t="str">
        <x:v>Single ending</x:v>
      </x:c>
      <x:c r="AF810" s="9" t="str">
        <x:v>The Saturn version adds two bosses from earlier games (Cut Man and Wood Man); the PlayStation version does not.</x:v>
      </x:c>
      <x:c r="AG810" s="9" t="str">
        <x:v>NA Capcom, PAL Virgin; JP Rockman 8 regular edition</x:v>
      </x:c>
      <x:c r="AH810" s="9" t="str">
        <x:v>Yes (Mega Man Legacy Collection 2, PS4/Xbox One/Switch/PC)</x:v>
      </x:c>
      <x:c r="AI810" s="9" t="str">
        <x:v>Easy</x:v>
      </x:c>
      <x:c r="AJ810" s="9" t="str">
        <x:v>Original PlayStation disc, or Mega Man Legacy Collection 2 on modern consoles and PC.</x:v>
      </x:c>
      <x:c r="AK810" s="9" t="str">
        <x:v>Saturn version is in the index (saturn-58); added for consistency in the borderline review, Oct 2026.</x:v>
      </x:c>
      <x:c r="AL810" s="10" t="n">
        <x:v>10.37</x:v>
      </x:c>
      <x:c r="AM810" s="10" t="n">
        <x:v>32.35</x:v>
      </x:c>
      <x:c r="AN810" s="10" t="n">
        <x:v>113.17</x:v>
      </x:c>
      <x:c r="AO810" s="9" t="str">
        <x:v>2026-10-21</x:v>
      </x:c>
      <x:c r="AP810" s="11" t="str">
        <x:f>HYPERLINK("https://www.pricecharting.com/search-products?q=Mega+Man+8+playstation&amp;type=prices","PriceCharting")</x:f>
        <x:v>PriceCharting</x:v>
      </x:c>
      <x:c r="AQ810" s="9"/>
      <x:c r="AR810" s="9"/>
      <x:c r="AS810" s="9"/>
      <x:c r="AT810" s="9"/>
      <x:c r="AU810" s="9"/>
      <x:c r="AV810" s="9"/>
      <x:c r="AW810" s="9"/>
      <x:c r="AX810" s="9"/>
      <x:c r="AY810" s="9"/>
      <x:c r="AZ810" s="9"/>
      <x:c r="BA810" s="11" t="str">
        <x:f>HYPERLINK("https://www.mobygames.com/search/?q=Mega+Man+8","MobyGames")</x:f>
        <x:v>MobyGames</x:v>
      </x:c>
      <x:c r="BB810" s="9" t="str">
        <x:v>68%</x:v>
      </x:c>
      <x:c r="BC810" s="9" t="str">
        <x:v>average of 10 reviews on Wikipedia (CVG, Fam, GI, GSpot, GameFan, GamePro, IGN, NGen, PSM, Ultra Game Players)</x:v>
      </x:c>
      <x:c r="BD810" s="9" t="str">
        <x:f>HYPERLINK("https://en.wikipedia.org/wiki/Mega_Man_8","Source")</x:f>
        <x:v>Source</x:v>
      </x:c>
      <x:c r="BE810" s="11" t="str">
        <x:f>HYPERLINK("https://en.wikipedia.org/wiki/Mega_Man_8","Wikipedia")</x:f>
        <x:v>Wikipedia</x:v>
      </x:c>
      <x:c r="BF810" s="11" t="str">
        <x:f>HYPERLINK("https://backloggd.com/search/games/Mega%20Man%208/","Backloggd")</x:f>
        <x:v>Backloggd</x:v>
      </x:c>
      <x:c r="BG810" s="9"/>
      <x:c r="BH810" s="9"/>
      <x:c r="BI810" s="12" t="str">
        <x:v>No</x:v>
      </x:c>
      <x:c r="BJ810" s="12" t="str"/>
      <x:c r="BK810" s="12" t="str">
        <x:v>No</x:v>
      </x:c>
      <x:c r="BL810" s="12" t="str"/>
      <x:c r="BM810" s="12" t="str"/>
      <x:c r="BN810" s="12" t="str"/>
      <x:c r="BO810" s="12" t="str"/>
      <x:c r="BP810" s="12" t="str"/>
      <x:c r="BQ810" s="12" t="str"/>
    </x:row>
    <x:row r="811">
      <x:c r="A811" s="9" t="str">
        <x:v>pc-177</x:v>
      </x:c>
      <x:c r="B811" s="9" t="str">
        <x:v>flashback</x:v>
      </x:c>
      <x:c r="C811" s="9" t="str">
        <x:v>PC</x:v>
      </x:c>
      <x:c r="D811" s="9" t="str">
        <x:v>Flashback: The Quest for Identity</x:v>
      </x:c>
      <x:c r="E811" s="9" t="str"/>
      <x:c r="F811" s="9" t="str">
        <x:v>Delphine Software</x:v>
      </x:c>
      <x:c r="G811" s="9" t="str">
        <x:v>U.S. Gold</x:v>
      </x:c>
      <x:c r="H811" s="9" t="n">
        <x:v>1993</x:v>
      </x:c>
      <x:c r="I811" s="9" t="str">
        <x:v>Yes</x:v>
      </x:c>
      <x:c r="J811" s="9" t="str">
        <x:v>No</x:v>
      </x:c>
      <x:c r="K811" s="9" t="str">
        <x:v>Yes</x:v>
      </x:c>
      <x:c r="L811" s="9" t="str">
        <x:v>No</x:v>
      </x:c>
      <x:c r="M811" s="9" t="str">
        <x:v>Cinematic platformer</x:v>
      </x:c>
      <x:c r="N811" s="9" t="str">
        <x:v>Pre-rendered CG</x:v>
      </x:c>
      <x:c r="O811" s="9" t="n">
        <x:v>2</x:v>
      </x:c>
      <x:c r="P811" s="9" t="str">
        <x:v>Cutscenes only</x:v>
      </x:c>
      <x:c r="Q811" s="9" t="str">
        <x:v>Released</x:v>
      </x:c>
      <x:c r="R811" s="9" t="str">
        <x:v>Amiga/PC original (1992)</x:v>
      </x:c>
      <x:c r="S811" s="9" t="str">
        <x:v>Amiga, Mega Drive, Sega CD, 3DO, CD-i, Jaguar, SNES</x:v>
      </x:c>
      <x:c r="T811" s="9" t="str">
        <x:v>—</x:v>
      </x:c>
      <x:c r="U811" s="9" t="n">
        <x:v>1</x:v>
      </x:c>
      <x:c r="V811" s="9" t="str">
        <x:v>Yes</x:v>
      </x:c>
      <x:c r="W811" s="9" t="str">
        <x:v>386, 2 MB RAM, VGA; DOS (CD-ROM edition)</x:v>
      </x:c>
      <x:c r="X811" s="9" t="str">
        <x:v>Low</x:v>
      </x:c>
      <x:c r="Y811" s="9" t="str"/>
      <x:c r="Z811" s="9" t="str">
        <x:v>3–5 hr</x:v>
      </x:c>
      <x:c r="AA811" s="9" t="str">
        <x:v>Delphine's rotoscoped classic; the PC cutscenes are polygon animations, not streamed video.</x:v>
      </x:c>
      <x:c r="AB811" s="9" t="str">
        <x:v>None known</x:v>
      </x:c>
      <x:c r="AC811" s="9" t="str">
        <x:v>Pre-rendered CG cutscenes with voice acting, redone for the CD-ROM edition (Wikipedia: the Sega CD cinematics were carried to PC CD-ROM, 3DO and CD-i); gameplay is 2D sprites</x:v>
      </x:c>
      <x:c r="AD811" s="9" t="str">
        <x:v>Hard</x:v>
      </x:c>
      <x:c r="AE811" s="9" t="str">
        <x:v>Single ending</x:v>
      </x:c>
      <x:c r="AF811" s="9" t="str">
        <x:v>Console CD versions added pre-rendered intro video.</x:v>
      </x:c>
      <x:c r="AG811" s="9" t="str">
        <x:v>Floppy; CD-ROM</x:v>
      </x:c>
      <x:c r="AH811" s="9" t="str">
        <x:v>Yes (GOG, Steam: Flashback 25th Anniversary)</x:v>
      </x:c>
      <x:c r="AI811" s="9" t="str">
        <x:v>Easy</x:v>
      </x:c>
      <x:c r="AJ811" s="9" t="str">
        <x:v>GOG/Steam</x:v>
      </x:c>
      <x:c r="AK811" s="9" t="str">
        <x:v>PC version of a game indexed on 3DO and CD-i for its cutscenes, which the PC scope rule includes (borderline review, Oct 2026). The floppy version has the original polygon cinematics instead.</x:v>
      </x:c>
      <x:c r="AL811" s="10" t="n">
        <x:v>29.92</x:v>
      </x:c>
      <x:c r="AM811" s="10" t="n">
        <x:v>125</x:v>
      </x:c>
      <x:c r="AN811" s="10" t="n">
        <x:v>250</x:v>
      </x:c>
      <x:c r="AO811" s="9" t="str">
        <x:v>2026-10-24</x:v>
      </x:c>
      <x:c r="AP811" s="11" t="str">
        <x:f>HYPERLINK("https://www.pricecharting.com/game/pc-games/flashback-the-quest-for-identity","PriceCharting")</x:f>
        <x:v>PriceCharting</x:v>
      </x:c>
      <x:c r="AQ811" s="9"/>
      <x:c r="AR811" s="9"/>
      <x:c r="AS811" s="9"/>
      <x:c r="AT811" s="9"/>
      <x:c r="AU811" s="9"/>
      <x:c r="AV811" s="9"/>
      <x:c r="AW811" s="9"/>
      <x:c r="AX811" s="9"/>
      <x:c r="AY811" s="9"/>
      <x:c r="AZ811" s="9"/>
      <x:c r="BA811" s="11" t="str">
        <x:f>HYPERLINK("https://www.mobygames.com/game/555/flashback-the-quest-for-identity/","MobyGames")</x:f>
        <x:v>MobyGames</x:v>
      </x:c>
      <x:c r="BB811" s="9" t="str">
        <x:v>80%</x:v>
      </x:c>
      <x:c r="BC811" s="9" t="str">
        <x:v>GameRankings, 1 review</x:v>
      </x:c>
      <x:c r="BD811" s="9" t="str">
        <x:f>HYPERLINK("https://web.archive.org/web/20191209015458id_/https://www.gamerankings.com/pc/565097-flashback-the-quest-for-identity/","Source")</x:f>
        <x:v>Source</x:v>
      </x:c>
      <x:c r="BE811" s="11" t="str">
        <x:f>HYPERLINK("https://en.wikipedia.org/wiki/Flashback_(1992_video_game)","Wikipedia")</x:f>
        <x:v>Wikipedia</x:v>
      </x:c>
      <x:c r="BF811" s="11" t="str">
        <x:f>HYPERLINK("https://backloggd.com/search/games/Flashback%3A%20The%20Quest%20for%20Identity/","Backloggd")</x:f>
        <x:v>Backloggd</x:v>
      </x:c>
      <x:c r="BG811" s="9"/>
      <x:c r="BH811" s="9"/>
      <x:c r="BI811" s="12" t="str">
        <x:v>No</x:v>
      </x:c>
      <x:c r="BJ811" s="12" t="str"/>
      <x:c r="BK811" s="12" t="str">
        <x:v>No</x:v>
      </x:c>
      <x:c r="BL811" s="12" t="str"/>
      <x:c r="BM811" s="12" t="str"/>
      <x:c r="BN811" s="12" t="str"/>
      <x:c r="BO811" s="12" t="str"/>
      <x:c r="BP811" s="12" t="str"/>
      <x:c r="BQ811" s="12" t="str"/>
    </x:row>
    <x:row r="812">
      <x:c r="A812" s="9" t="str">
        <x:v>pc-178</x:v>
      </x:c>
      <x:c r="B812" s="9" t="str">
        <x:v>rise-of-the-robots</x:v>
      </x:c>
      <x:c r="C812" s="9" t="str">
        <x:v>PC</x:v>
      </x:c>
      <x:c r="D812" s="9" t="str">
        <x:v>Rise of the Robots</x:v>
      </x:c>
      <x:c r="E812" s="9" t="str"/>
      <x:c r="F812" s="9" t="str">
        <x:v>Mirage</x:v>
      </x:c>
      <x:c r="G812" s="9" t="str">
        <x:v>Time Warner Interactive</x:v>
      </x:c>
      <x:c r="H812" s="9" t="n">
        <x:v>1994</x:v>
      </x:c>
      <x:c r="I812" s="9" t="str">
        <x:v>Yes</x:v>
      </x:c>
      <x:c r="J812" s="9" t="str">
        <x:v>No</x:v>
      </x:c>
      <x:c r="K812" s="9" t="str">
        <x:v>Yes</x:v>
      </x:c>
      <x:c r="L812" s="9" t="str">
        <x:v>No</x:v>
      </x:c>
      <x:c r="M812" s="9" t="str">
        <x:v>Fighting</x:v>
      </x:c>
      <x:c r="N812" s="9" t="str">
        <x:v>Pre-rendered CG</x:v>
      </x:c>
      <x:c r="O812" s="9" t="n">
        <x:v>2</x:v>
      </x:c>
      <x:c r="P812" s="9" t="str">
        <x:v>Cutscenes only</x:v>
      </x:c>
      <x:c r="Q812" s="9" t="str">
        <x:v>Released</x:v>
      </x:c>
      <x:c r="R812" s="9" t="str">
        <x:v>PC/Amiga original</x:v>
      </x:c>
      <x:c r="S812" s="9" t="str">
        <x:v>Amiga, CD32, 3DO, CD-i, SNES, Mega Drive, Game Gear</x:v>
      </x:c>
      <x:c r="T812" s="9" t="str">
        <x:v>Brian May (music track)</x:v>
      </x:c>
      <x:c r="U812" s="9" t="n">
        <x:v>1</x:v>
      </x:c>
      <x:c r="V812" s="9" t="str">
        <x:v>Yes</x:v>
      </x:c>
      <x:c r="W812" s="9" t="str">
        <x:v>386/33, 4 MB RAM, CD-ROM, VGA; DOS</x:v>
      </x:c>
      <x:c r="X812" s="9" t="str">
        <x:v>Low–Med</x:v>
      </x:c>
      <x:c r="Y812" s="9" t="str">
        <x:v>Brian May guitar track</x:v>
      </x:c>
      <x:c r="Z812" s="9" t="str">
        <x:v>1 hr</x:v>
      </x:c>
      <x:c r="AA812" s="9" t="str">
        <x:v>The infamous CG-hyped fighter; the CD version's rendered intro is the best part.</x:v>
      </x:c>
      <x:c r="AB812" s="9" t="str">
        <x:v>None known</x:v>
      </x:c>
      <x:c r="AC812" s="9" t="str">
        <x:v>Pre-rendered 3D Studio intro, robot introductions and ending; Director's Cut adds a second disc of work-in-progress footage and pre-production animations (Wikipedia)</x:v>
      </x:c>
      <x:c r="AD812" s="9" t="str">
        <x:v>Cheap AI</x:v>
      </x:c>
      <x:c r="AE812" s="9" t="str">
        <x:v>Single ending</x:v>
      </x:c>
      <x:c r="AF812" s="9" t="str">
        <x:v>A CD-only Director's Cut added more rendered footage (verify).</x:v>
      </x:c>
      <x:c r="AG812" s="9" t="str">
        <x:v>Standard CD; Director's Cut</x:v>
      </x:c>
      <x:c r="AH812" s="9" t="str">
        <x:v>No</x:v>
      </x:c>
      <x:c r="AI812" s="9" t="str">
        <x:v>Easy</x:v>
      </x:c>
      <x:c r="AJ812" s="9" t="str">
        <x:v>Original discs in DOSBox</x:v>
      </x:c>
      <x:c r="AK812" s="9" t="str">
        <x:v>PC version of a game indexed on 3DO and CD-i for its cinemas, which the PC scope rule includes (borderline review, Oct 2026).</x:v>
      </x:c>
      <x:c r="AL812" s="10" t="n">
        <x:v>6.37</x:v>
      </x:c>
      <x:c r="AM812" s="10" t="n">
        <x:v>21.74</x:v>
      </x:c>
      <x:c r="AN812" s="10" t="n">
        <x:v>52.53</x:v>
      </x:c>
      <x:c r="AO812" s="9" t="str">
        <x:v>2026-10-24</x:v>
      </x:c>
      <x:c r="AP812" s="11" t="str">
        <x:f>HYPERLINK("https://www.pricecharting.com/game/pc-games/rise-of-the-robots","PriceCharting")</x:f>
        <x:v>PriceCharting</x:v>
      </x:c>
      <x:c r="AQ812" s="9"/>
      <x:c r="AR812" s="9"/>
      <x:c r="AS812" s="9"/>
      <x:c r="AT812" s="9"/>
      <x:c r="AU812" s="9"/>
      <x:c r="AV812" s="9"/>
      <x:c r="AW812" s="9"/>
      <x:c r="AX812" s="9"/>
      <x:c r="AY812" s="9" t="str">
        <x:v>64%</x:v>
      </x:c>
      <x:c r="AZ812" s="9" t="str">
        <x:v>2.2</x:v>
      </x:c>
      <x:c r="BA812" s="11" t="str">
        <x:f>HYPERLINK("https://www.mobygames.com/game/dos/rise-of-the-robots","MobyGames")</x:f>
        <x:v>MobyGames</x:v>
      </x:c>
      <x:c r="BB812" s="9"/>
      <x:c r="BC812" s="9"/>
      <x:c r="BD812" s="9"/>
      <x:c r="BE812" s="11" t="str">
        <x:f>HYPERLINK("https://en.wikipedia.org/wiki/Rise_of_the_Robots","Wikipedia")</x:f>
        <x:v>Wikipedia</x:v>
      </x:c>
      <x:c r="BF812" s="11" t="str">
        <x:f>HYPERLINK("https://backloggd.com/search/games/Rise%20of%20the%20Robots/","Backloggd")</x:f>
        <x:v>Backloggd</x:v>
      </x:c>
      <x:c r="BG812" s="9"/>
      <x:c r="BH812" s="9"/>
      <x:c r="BI812" s="12" t="str">
        <x:v>No</x:v>
      </x:c>
      <x:c r="BJ812" s="12" t="str"/>
      <x:c r="BK812" s="12" t="str">
        <x:v>No</x:v>
      </x:c>
      <x:c r="BL812" s="12" t="str"/>
      <x:c r="BM812" s="12" t="str"/>
      <x:c r="BN812" s="12" t="str"/>
      <x:c r="BO812" s="12" t="str"/>
      <x:c r="BP812" s="12" t="str"/>
      <x:c r="BQ812" s="12" t="str"/>
    </x:row>
    <x:row r="813">
      <x:c r="A813" s="9" t="str">
        <x:v>mac-89</x:v>
      </x:c>
      <x:c r="B813" s="9" t="str">
        <x:v>timelapse</x:v>
      </x:c>
      <x:c r="C813" s="9" t="str">
        <x:v>Macintosh</x:v>
      </x:c>
      <x:c r="D813" s="9" t="str">
        <x:v>Timelapse</x:v>
      </x:c>
      <x:c r="E813" s="9" t="str"/>
      <x:c r="F813" s="9" t="str">
        <x:v>Group Unity</x:v>
      </x:c>
      <x:c r="G813" s="9" t="str">
        <x:v>GTE Entertainment</x:v>
      </x:c>
      <x:c r="H813" s="9" t="n">
        <x:v>1996</x:v>
      </x:c>
      <x:c r="I813" s="9" t="str">
        <x:v>Yes</x:v>
      </x:c>
      <x:c r="J813" s="9" t="str">
        <x:v>No</x:v>
      </x:c>
      <x:c r="K813" s="9" t="str">
        <x:v>No</x:v>
      </x:c>
      <x:c r="L813" s="9" t="str">
        <x:v>No</x:v>
      </x:c>
      <x:c r="M813" s="9" t="str">
        <x:v>Graphic adventure / puzzle</x:v>
      </x:c>
      <x:c r="N813" s="9" t="str">
        <x:v>Live-action + pre-rendered CG</x:v>
      </x:c>
      <x:c r="O813" s="9" t="n">
        <x:v>4</x:v>
      </x:c>
      <x:c r="P813" s="9" t="str">
        <x:v>FMV adventure</x:v>
      </x:c>
      <x:c r="Q813" s="9" t="str">
        <x:v>Released</x:v>
      </x:c>
      <x:c r="R813" s="9" t="str">
        <x:v>PC original</x:v>
      </x:c>
      <x:c r="S813" s="9" t="str">
        <x:v>Windows</x:v>
      </x:c>
      <x:c r="T813" s="9" t="str">
        <x:v>—</x:v>
      </x:c>
      <x:c r="U813" s="9" t="n">
        <x:v>1</x:v>
      </x:c>
      <x:c r="V813" s="9" t="str">
        <x:v>Unknown — verify</x:v>
      </x:c>
      <x:c r="W813" s="9" t="str">
        <x:v>Mouse</x:v>
      </x:c>
      <x:c r="X813" s="9" t="str">
        <x:v>Low</x:v>
      </x:c>
      <x:c r="Y813" s="9" t="str"/>
      <x:c r="Z813" s="9" t="str">
        <x:v>Unknown — verify</x:v>
      </x:c>
      <x:c r="AA813" s="9" t="str"/>
      <x:c r="AB813" s="9" t="str">
        <x:v>None known</x:v>
      </x:c>
      <x:c r="AC813" s="9" t="str">
        <x:v>QuickTime video in a window, roughly 320x240 or smaller, ~15 fps (verify)</x:v>
      </x:c>
      <x:c r="AD813" s="9" t="str">
        <x:v>Unknown — verify</x:v>
      </x:c>
      <x:c r="AE813" s="9" t="str">
        <x:v>Unknown — verify</x:v>
      </x:c>
      <x:c r="AF813" s="9" t="str"/>
      <x:c r="AG813" s="9" t="str">
        <x:v>Hybrid Mac/PC disc (verify)</x:v>
      </x:c>
      <x:c r="AH813" s="9" t="str">
        <x:v>Yes (GOG)</x:v>
      </x:c>
      <x:c r="AI813" s="9" t="str">
        <x:v>Easy</x:v>
      </x:c>
      <x:c r="AJ813" s="9" t="str">
        <x:v>1990s Mac or an emulator such as SheepShaver/Basilisk II.</x:v>
      </x:c>
      <x:c r="AK813" s="9" t="str">
        <x:v>Follows the PC record (pc-120, fmv 4), per the Mac rule for ports (borderline review, Oct 2026). Developer from memory (verify).</x:v>
      </x:c>
      <x:c r="AL813" s="10"/>
      <x:c r="AM813" s="10"/>
      <x:c r="AN813" s="10"/>
      <x:c r="AO813" s="9"/>
      <x:c r="AP813" s="11" t="str">
        <x:f>HYPERLINK("https://www.pricecharting.com/search-products?q=Timelapse+macintosh&amp;type=prices","PriceCharting")</x:f>
        <x:v>PriceCharting</x:v>
      </x:c>
      <x:c r="AQ813" s="9"/>
      <x:c r="AR813" s="9"/>
      <x:c r="AS813" s="9"/>
      <x:c r="AT813" s="9"/>
      <x:c r="AU813" s="9" t="str">
        <x:v>No market</x:v>
      </x:c>
      <x:c r="AV813" s="9" t="str">
        <x:v>Not listed on PriceCharting, whose Macintosh console has only about 110 items (searched 2026-10-25). The PC version is on GOG ($5.99).</x:v>
      </x:c>
      <x:c r="AW813" s="9"/>
      <x:c r="AX813" s="9"/>
      <x:c r="AY813" s="9"/>
      <x:c r="AZ813" s="9"/>
      <x:c r="BA813" s="11" t="str">
        <x:f>HYPERLINK("https://www.mobygames.com/game/2172","MobyGames")</x:f>
        <x:v>MobyGames</x:v>
      </x:c>
      <x:c r="BB813" s="9" t="str">
        <x:v>80%</x:v>
      </x:c>
      <x:c r="BC813" s="9" t="str">
        <x:v>average of 2 reviews from Macintosh-only magazines on Wikipedia (Inside Mac Games, MacHome Journal)</x:v>
      </x:c>
      <x:c r="BD813" s="9" t="str">
        <x:f>HYPERLINK("https://en.wikipedia.org/wiki/Timelapse_%28video_game%29","Source")</x:f>
        <x:v>Source</x:v>
      </x:c>
      <x:c r="BE813" s="11" t="str">
        <x:f>HYPERLINK("https://en.wikipedia.org/wiki/Timelapse_(video_game)","Wikipedia")</x:f>
        <x:v>Wikipedia</x:v>
      </x:c>
      <x:c r="BF813" s="11" t="str">
        <x:f>HYPERLINK("https://backloggd.com/search/games/Timelapse/","Backloggd")</x:f>
        <x:v>Backloggd</x:v>
      </x:c>
      <x:c r="BG813" s="9"/>
      <x:c r="BH813" s="9"/>
      <x:c r="BI813" s="12" t="str">
        <x:v>No</x:v>
      </x:c>
      <x:c r="BJ813" s="12" t="str"/>
      <x:c r="BK813" s="12" t="str">
        <x:v>No</x:v>
      </x:c>
      <x:c r="BL813" s="12" t="str"/>
      <x:c r="BM813" s="12" t="str"/>
      <x:c r="BN813" s="12" t="str"/>
      <x:c r="BO813" s="12" t="str"/>
      <x:c r="BP813" s="12" t="str"/>
      <x:c r="BQ813" s="12" t="str"/>
    </x:row>
    <x:row r="814">
      <x:c r="A814" s="9" t="str">
        <x:v>cd32-11</x:v>
      </x:c>
      <x:c r="B814" s="9" t="str">
        <x:v>rise-of-the-robots</x:v>
      </x:c>
      <x:c r="C814" s="9" t="str">
        <x:v>Amiga CD32</x:v>
      </x:c>
      <x:c r="D814" s="9" t="str">
        <x:v>Rise of the Robots</x:v>
      </x:c>
      <x:c r="E814" s="9" t="str"/>
      <x:c r="F814" s="9" t="str">
        <x:v>Instinct Design (Mirage)</x:v>
      </x:c>
      <x:c r="G814" s="9" t="str">
        <x:v>Time Warner Interactive</x:v>
      </x:c>
      <x:c r="H814" s="9" t="n">
        <x:v>1994</x:v>
      </x:c>
      <x:c r="I814" s="9" t="str">
        <x:v>No</x:v>
      </x:c>
      <x:c r="J814" s="9" t="str">
        <x:v>No</x:v>
      </x:c>
      <x:c r="K814" s="9" t="str">
        <x:v>Yes</x:v>
      </x:c>
      <x:c r="L814" s="9" t="str">
        <x:v>No</x:v>
      </x:c>
      <x:c r="M814" s="9" t="str">
        <x:v>Fighting</x:v>
      </x:c>
      <x:c r="N814" s="9" t="str">
        <x:v>Pre-rendered CG</x:v>
      </x:c>
      <x:c r="O814" s="9" t="n">
        <x:v>2</x:v>
      </x:c>
      <x:c r="P814" s="9" t="str">
        <x:v>Cutscenes only</x:v>
      </x:c>
      <x:c r="Q814" s="9" t="str">
        <x:v>Released</x:v>
      </x:c>
      <x:c r="R814" s="9" t="str">
        <x:v>PC/Amiga original</x:v>
      </x:c>
      <x:c r="S814" s="9" t="str">
        <x:v>DOS, Amiga, SNES, Mega Drive, Game Gear, 3DO, CD-i</x:v>
      </x:c>
      <x:c r="T814" s="9" t="str">
        <x:v>Brian May (Queen) contributed the track 'The Dark' (verify presence on CD32)</x:v>
      </x:c>
      <x:c r="U814" s="9" t="n">
        <x:v>1</x:v>
      </x:c>
      <x:c r="V814" s="9" t="str">
        <x:v>No</x:v>
      </x:c>
      <x:c r="W814" s="9" t="str">
        <x:v>CD32 joypad; runs on CD32 (and Amiga CD1200/A1200 with CD32 emulation). No FMV module needed.</x:v>
      </x:c>
      <x:c r="X814" s="9" t="str">
        <x:v>Med</x:v>
      </x:c>
      <x:c r="Y814" s="9" t="str">
        <x:v>Brian May guitar track if present</x:v>
      </x:c>
      <x:c r="Z814" s="9" t="str">
        <x:v>30–60 min</x:v>
      </x:c>
      <x:c r="AA814" s="9" t="str">
        <x:v>The most-hyped rendered fighting game of 1994 and its infamous one-button AI, now with the CG intro intact on CD.</x:v>
      </x:c>
      <x:c r="AB814" s="9" t="str">
        <x:v>None known</x:v>
      </x:c>
      <x:c r="AC814" s="9" t="str">
        <x:v>3D rendered intro ("the amazing introduction... in 3D and looks stunning", Old School Game Blog CD32 review) and a robot animation before each fight</x:v>
      </x:c>
      <x:c r="AD814" s="9" t="str">
        <x:v>Cheap AI; beatable with one repeated move</x:v>
      </x:c>
      <x:c r="AE814" s="9" t="str">
        <x:v>One ending</x:v>
      </x:c>
      <x:c r="AF814" s="9" t="str">
        <x:v>Hyped for its SGI-rendered robots; became a byword for style over substance.</x:v>
      </x:c>
      <x:c r="AG814" s="9" t="str"/>
      <x:c r="AH814" s="9" t="str">
        <x:v>No</x:v>
      </x:c>
      <x:c r="AI814" s="9" t="str">
        <x:v>Easy</x:v>
      </x:c>
      <x:c r="AJ814" s="9" t="str">
        <x:v>Original CD32 (region-free discs) or FS-UAE/WinUAE CD32 emulation; also MiSTer Minimig/AmigaVision CD32 setups.</x:v>
      </x:c>
      <x:c r="AK814" s="9" t="str">
        <x:v>Intro confirmed by a CD32 review (oldschoolgameblog.com, 2011); an archive.org CD32 longplay exists. PriceCharting lists it on its NTSC Amiga CD32 page (verify na).</x:v>
      </x:c>
      <x:c r="AL814" s="10" t="n">
        <x:v>12.97</x:v>
      </x:c>
      <x:c r="AM814" s="10" t="n">
        <x:v>28.25</x:v>
      </x:c>
      <x:c r="AN814" s="10" t="n">
        <x:v>57.78</x:v>
      </x:c>
      <x:c r="AO814" s="9" t="str">
        <x:v>2026-10-24</x:v>
      </x:c>
      <x:c r="AP814" s="11" t="str">
        <x:f>HYPERLINK("https://www.pricecharting.com/game/amiga-cd32/rise-of-the-robots","PriceCharting")</x:f>
        <x:v>PriceCharting</x:v>
      </x:c>
      <x:c r="AQ814" s="9"/>
      <x:c r="AR814" s="9"/>
      <x:c r="AS814" s="9"/>
      <x:c r="AT814" s="9"/>
      <x:c r="AU814" s="9"/>
      <x:c r="AV814" s="9"/>
      <x:c r="AW814" s="9"/>
      <x:c r="AX814" s="9"/>
      <x:c r="AY814" s="9" t="str">
        <x:v>50%</x:v>
      </x:c>
      <x:c r="AZ814" s="9" t="str">
        <x:v>1.6</x:v>
      </x:c>
      <x:c r="BA814" s="11" t="str">
        <x:f>HYPERLINK("https://www.mobygames.com/game/amiga-cd32/rise-of-the-robots","MobyGames")</x:f>
        <x:v>MobyGames</x:v>
      </x:c>
      <x:c r="BB814" s="9"/>
      <x:c r="BC814" s="9"/>
      <x:c r="BD814" s="9"/>
      <x:c r="BE814" s="11" t="str">
        <x:f>HYPERLINK("https://en.wikipedia.org/wiki/Rise_of_the_Robots","Wikipedia")</x:f>
        <x:v>Wikipedia</x:v>
      </x:c>
      <x:c r="BF814" s="11" t="str">
        <x:f>HYPERLINK("https://backloggd.com/search/games/Rise%20of%20the%20Robots/","Backloggd")</x:f>
        <x:v>Backloggd</x:v>
      </x:c>
      <x:c r="BG814" s="9"/>
      <x:c r="BH814" s="9"/>
      <x:c r="BI814" s="12" t="str">
        <x:v>No</x:v>
      </x:c>
      <x:c r="BJ814" s="12" t="str"/>
      <x:c r="BK814" s="12" t="str">
        <x:v>No</x:v>
      </x:c>
      <x:c r="BL814" s="12" t="str"/>
      <x:c r="BM814" s="12" t="str"/>
      <x:c r="BN814" s="12" t="str"/>
      <x:c r="BO814" s="12" t="str"/>
      <x:c r="BP814" s="12" t="str"/>
      <x:c r="BQ814" s="12" t="str"/>
    </x:row>
    <x:row r="815">
      <x:c r="A815" s="9" t="str">
        <x:v>cd32-12</x:v>
      </x:c>
      <x:c r="B815" s="9" t="str">
        <x:v>alien-breed-tower-assault</x:v>
      </x:c>
      <x:c r="C815" s="9" t="str">
        <x:v>Amiga CD32</x:v>
      </x:c>
      <x:c r="D815" s="9" t="str">
        <x:v>Alien Breed: Tower Assault</x:v>
      </x:c>
      <x:c r="E815" s="9" t="str"/>
      <x:c r="F815" s="9" t="str">
        <x:v>Team17</x:v>
      </x:c>
      <x:c r="G815" s="9" t="str">
        <x:v>Team17</x:v>
      </x:c>
      <x:c r="H815" s="9" t="n">
        <x:v>1994</x:v>
      </x:c>
      <x:c r="I815" s="9" t="str">
        <x:v>No</x:v>
      </x:c>
      <x:c r="J815" s="9" t="str">
        <x:v>No</x:v>
      </x:c>
      <x:c r="K815" s="9" t="str">
        <x:v>Yes</x:v>
      </x:c>
      <x:c r="L815" s="9" t="str">
        <x:v>No</x:v>
      </x:c>
      <x:c r="M815" s="9" t="str">
        <x:v>Top-down shooter</x:v>
      </x:c>
      <x:c r="N815" s="9" t="str">
        <x:v>Pre-rendered CG</x:v>
      </x:c>
      <x:c r="O815" s="9" t="n">
        <x:v>1</x:v>
      </x:c>
      <x:c r="P815" s="9" t="str">
        <x:v>Cutscenes only</x:v>
      </x:c>
      <x:c r="Q815" s="9" t="str">
        <x:v>Released</x:v>
      </x:c>
      <x:c r="R815" s="9" t="str">
        <x:v>Amiga original</x:v>
      </x:c>
      <x:c r="S815" s="9" t="str">
        <x:v>Amiga, DOS</x:v>
      </x:c>
      <x:c r="T815" s="9" t="str">
        <x:v>—</x:v>
      </x:c>
      <x:c r="U815" s="9" t="n">
        <x:v>1</x:v>
      </x:c>
      <x:c r="V815" s="9" t="str">
        <x:v>No (passwords)</x:v>
      </x:c>
      <x:c r="W815" s="9" t="str">
        <x:v>CD32 joypad; runs on CD32 (and Amiga CD1200/A1200 with CD32 emulation). No FMV module needed.</x:v>
      </x:c>
      <x:c r="X815" s="9" t="str">
        <x:v>Low</x:v>
      </x:c>
      <x:c r="Y815" s="9" t="str"/>
      <x:c r="Z815" s="9" t="str">
        <x:v>3–5 hr</x:v>
      </x:c>
      <x:c r="AA815" s="9" t="str">
        <x:v>Team17's Aliens-style shooter with a rendered CD-only intro.</x:v>
      </x:c>
      <x:c r="AB815" s="9" t="str">
        <x:v>None known</x:v>
      </x:c>
      <x:c r="AC815" s="9" t="str">
        <x:v>CDXL intro and outro movies by Shadowmaker Ltd. (Exotica; the Aminet TA_Outro readme says the CD32 original is CDXL)</x:v>
      </x:c>
      <x:c r="AD815" s="9" t="str">
        <x:v>Hard</x:v>
      </x:c>
      <x:c r="AE815" s="9" t="str">
        <x:v>Multiple routes; one ending (verify)</x:v>
      </x:c>
      <x:c r="AF815" s="9"/>
      <x:c r="AG815" s="9" t="str"/>
      <x:c r="AH815" s="9" t="str">
        <x:v>No</x:v>
      </x:c>
      <x:c r="AI815" s="9" t="str">
        <x:v>Easy</x:v>
      </x:c>
      <x:c r="AJ815" s="9" t="str">
        <x:v>Original CD32 (region-free discs) or FS-UAE/WinUAE CD32 emulation; also MiSTer Minimig/AmigaVision CD32 setups.</x:v>
      </x:c>
      <x:c r="AK815" s="9" t="str">
        <x:v>Video confirmed by Exotica and an Aminet upload of the CDXL outro. PriceCharting prices are from its NTSC CD32 page. na=false (verify).</x:v>
      </x:c>
      <x:c r="AL815" s="10" t="n">
        <x:v>61.35</x:v>
      </x:c>
      <x:c r="AM815" s="10" t="n">
        <x:v>134.96</x:v>
      </x:c>
      <x:c r="AN815" s="10" t="n">
        <x:v>270</x:v>
      </x:c>
      <x:c r="AO815" s="9" t="str">
        <x:v>2026-10-24</x:v>
      </x:c>
      <x:c r="AP815" s="11" t="str">
        <x:f>HYPERLINK("https://www.pricecharting.com/game/amiga-cd32/alien-breed-tower-assault","PriceCharting")</x:f>
        <x:v>PriceCharting</x:v>
      </x:c>
      <x:c r="AQ815" s="9"/>
      <x:c r="AR815" s="9"/>
      <x:c r="AS815" s="9"/>
      <x:c r="AT815" s="9"/>
      <x:c r="AU815" s="9"/>
      <x:c r="AV815" s="9"/>
      <x:c r="AW815" s="9"/>
      <x:c r="AX815" s="9"/>
      <x:c r="AY815" s="9" t="str">
        <x:v>85%</x:v>
      </x:c>
      <x:c r="AZ815" s="9"/>
      <x:c r="BA815" s="11" t="str">
        <x:f>HYPERLINK("https://www.mobygames.com/game/amiga-cd32/alien-breed-tower-assault","MobyGames")</x:f>
        <x:v>MobyGames</x:v>
      </x:c>
      <x:c r="BB815" s="9"/>
      <x:c r="BC815" s="9"/>
      <x:c r="BD815" s="9"/>
      <x:c r="BE815" s="9"/>
      <x:c r="BF815" s="11" t="str">
        <x:f>HYPERLINK("https://backloggd.com/search/games/Alien%20Breed%3A%20Tower%20Assault/","Backloggd")</x:f>
        <x:v>Backloggd</x:v>
      </x:c>
      <x:c r="BG815" s="9"/>
      <x:c r="BH815" s="9"/>
      <x:c r="BI815" s="12" t="str">
        <x:v>No</x:v>
      </x:c>
      <x:c r="BJ815" s="12" t="str"/>
      <x:c r="BK815" s="12" t="str">
        <x:v>No</x:v>
      </x:c>
      <x:c r="BL815" s="12" t="str"/>
      <x:c r="BM815" s="12" t="str"/>
      <x:c r="BN815" s="12" t="str"/>
      <x:c r="BO815" s="12" t="str"/>
      <x:c r="BP815" s="12" t="str"/>
      <x:c r="BQ815" s="12" t="str"/>
    </x:row>
    <x:row r="816">
      <x:c r="A816" s="9" t="str">
        <x:v>cd32-13</x:v>
      </x:c>
      <x:c r="B816" s="9" t="str">
        <x:v>sports-football</x:v>
      </x:c>
      <x:c r="C816" s="9" t="str">
        <x:v>Amiga CD32</x:v>
      </x:c>
      <x:c r="D816" s="9" t="str">
        <x:v>Sports Football</x:v>
      </x:c>
      <x:c r="E816" s="9" t="str">
        <x:v>Amiga CD Football</x:v>
      </x:c>
      <x:c r="F816" s="9" t="str">
        <x:v>PlattSoft</x:v>
      </x:c>
      <x:c r="G816" s="9" t="str">
        <x:v>Commodore International</x:v>
      </x:c>
      <x:c r="H816" s="9" t="n">
        <x:v>1994</x:v>
      </x:c>
      <x:c r="I816" s="9" t="str">
        <x:v>No</x:v>
      </x:c>
      <x:c r="J816" s="9" t="str">
        <x:v>No</x:v>
      </x:c>
      <x:c r="K816" s="9" t="str">
        <x:v>Yes</x:v>
      </x:c>
      <x:c r="L816" s="9" t="str">
        <x:v>No</x:v>
      </x:c>
      <x:c r="M816" s="9" t="str">
        <x:v>American football</x:v>
      </x:c>
      <x:c r="N816" s="9" t="str">
        <x:v>Live-action</x:v>
      </x:c>
      <x:c r="O816" s="9" t="n">
        <x:v>2</x:v>
      </x:c>
      <x:c r="P816" s="9" t="str">
        <x:v>Sports w/ FMV</x:v>
      </x:c>
      <x:c r="Q816" s="9" t="str">
        <x:v>Released</x:v>
      </x:c>
      <x:c r="R816" s="9" t="str">
        <x:v>Original production (Commodore)</x:v>
      </x:c>
      <x:c r="S816" s="9" t="str">
        <x:v>—</x:v>
      </x:c>
      <x:c r="T816" s="9" t="str">
        <x:v>—</x:v>
      </x:c>
      <x:c r="U816" s="9" t="n">
        <x:v>1</x:v>
      </x:c>
      <x:c r="V816" s="9" t="str">
        <x:v>No</x:v>
      </x:c>
      <x:c r="W816" s="9" t="str">
        <x:v>CD32 joypad; runs on CD32 (and Amiga CD1200/A1200 with CD32 emulation). No FMV module needed.</x:v>
      </x:c>
      <x:c r="X816" s="9" t="str">
        <x:v>Low–Med</x:v>
      </x:c>
      <x:c r="Y816" s="9" t="str">
        <x:v>Any NFL/college game footage (unconfirmed)</x:v>
      </x:c>
      <x:c r="Z816" s="9" t="str">
        <x:v>Unknown — verify</x:v>
      </x:c>
      <x:c r="AA816" s="9" t="str">
        <x:v>A Commodore first-party CD32 exclusive gridiron game with video clips.</x:v>
      </x:c>
      <x:c r="AB816" s="9" t="str">
        <x:v>None known</x:v>
      </x:c>
      <x:c r="AC816" s="9" t="str">
        <x:v>CDXL video, including animated assistant-coach sequences (Generation Amiga, June 2026) — verify size and content</x:v>
      </x:c>
      <x:c r="AD816" s="9" t="str">
        <x:v>Unknown — verify</x:v>
      </x:c>
      <x:c r="AE816" s="9" t="str">
        <x:v>Linear; one ending</x:v>
      </x:c>
      <x:c r="AF816" s="9"/>
      <x:c r="AG816" s="9" t="str"/>
      <x:c r="AH816" s="9" t="str">
        <x:v>No</x:v>
      </x:c>
      <x:c r="AI816" s="9" t="str">
        <x:v>Easy</x:v>
      </x:c>
      <x:c r="AJ816" s="9" t="str">
        <x:v>Original CD32 (region-free discs) or FS-UAE/WinUAE CD32 emulation; also MiSTer Minimig/AmigaVision CD32 setups.</x:v>
      </x:c>
      <x:c r="AK816" s="9" t="str">
        <x:v>Single source for the video (Generation Amiga CDXL article, 2026) — verify with a capture. Wikipedia list: CD32 exclusive, CD Audio, FMV.</x:v>
      </x:c>
      <x:c r="AL816" s="10"/>
      <x:c r="AM816" s="10"/>
      <x:c r="AN816" s="10"/>
      <x:c r="AO816" s="9"/>
      <x:c r="AP816" s="11" t="str">
        <x:f>HYPERLINK("https://www.pricecharting.com/search-products?q=Sports+Football+amiga+cd32&amp;type=prices","PriceCharting")</x:f>
        <x:v>PriceCharting</x:v>
      </x:c>
      <x:c r="AQ816" s="9"/>
      <x:c r="AR816" s="9"/>
      <x:c r="AS816" s="9"/>
      <x:c r="AT816" s="9"/>
      <x:c r="AU816" s="9"/>
      <x:c r="AV816" s="9"/>
      <x:c r="AW816" s="9"/>
      <x:c r="AX816" s="9"/>
      <x:c r="AY816" s="9"/>
      <x:c r="AZ816" s="9"/>
      <x:c r="BA816" s="11" t="str">
        <x:f>HYPERLINK("https://www.mobygames.com/search/?q=Sports+Football","MobyGames")</x:f>
        <x:v>MobyGames</x:v>
      </x:c>
      <x:c r="BB816" s="9"/>
      <x:c r="BC816" s="9"/>
      <x:c r="BD816" s="9"/>
      <x:c r="BE816" s="9"/>
      <x:c r="BF816" s="11" t="str">
        <x:f>HYPERLINK("https://backloggd.com/search/games/Sports%20Football/","Backloggd")</x:f>
        <x:v>Backloggd</x:v>
      </x:c>
      <x:c r="BG816" s="9"/>
      <x:c r="BH816" s="9"/>
      <x:c r="BI816" s="12" t="str">
        <x:v>No</x:v>
      </x:c>
      <x:c r="BJ816" s="12" t="str"/>
      <x:c r="BK816" s="12" t="str">
        <x:v>No</x:v>
      </x:c>
      <x:c r="BL816" s="12" t="str"/>
      <x:c r="BM816" s="12" t="str"/>
      <x:c r="BN816" s="12" t="str"/>
      <x:c r="BO816" s="12" t="str"/>
      <x:c r="BP816" s="12" t="str"/>
      <x:c r="BQ816" s="12" t="str"/>
    </x:row>
    <x:row r="817">
      <x:c r="A817" s="9" t="str">
        <x:v>cd32-14</x:v>
      </x:c>
      <x:c r="B817" s="9" t="str">
        <x:v>the-final-gate</x:v>
      </x:c>
      <x:c r="C817" s="9" t="str">
        <x:v>Amiga CD32</x:v>
      </x:c>
      <x:c r="D817" s="9" t="str">
        <x:v>The Final Gate</x:v>
      </x:c>
      <x:c r="E817" s="9" t="str"/>
      <x:c r="F817" s="9" t="str">
        <x:v>Alternative Software</x:v>
      </x:c>
      <x:c r="G817" s="9" t="str">
        <x:v>Alternative Software</x:v>
      </x:c>
      <x:c r="H817" s="9" t="n">
        <x:v>1996</x:v>
      </x:c>
      <x:c r="I817" s="9" t="str">
        <x:v>No</x:v>
      </x:c>
      <x:c r="J817" s="9" t="str">
        <x:v>No</x:v>
      </x:c>
      <x:c r="K817" s="9" t="str">
        <x:v>Yes</x:v>
      </x:c>
      <x:c r="L817" s="9" t="str">
        <x:v>No</x:v>
      </x:c>
      <x:c r="M817" s="9" t="str">
        <x:v>Shoot 'em up</x:v>
      </x:c>
      <x:c r="N817" s="9" t="str">
        <x:v>Pre-rendered CG</x:v>
      </x:c>
      <x:c r="O817" s="9" t="n">
        <x:v>2</x:v>
      </x:c>
      <x:c r="P817" s="9" t="str">
        <x:v>Cutscenes only</x:v>
      </x:c>
      <x:c r="Q817" s="9" t="str">
        <x:v>Released</x:v>
      </x:c>
      <x:c r="R817" s="9" t="str">
        <x:v>Original production (CD32 exclusive)</x:v>
      </x:c>
      <x:c r="S817" s="9" t="str">
        <x:v>—</x:v>
      </x:c>
      <x:c r="T817" s="9" t="str">
        <x:v>—</x:v>
      </x:c>
      <x:c r="U817" s="9" t="n">
        <x:v>1</x:v>
      </x:c>
      <x:c r="V817" s="9" t="str">
        <x:v>No</x:v>
      </x:c>
      <x:c r="W817" s="9" t="str">
        <x:v>CD32 joypad; FMV module optional (plays MPEG video if fitted, CDXL otherwise — verify)</x:v>
      </x:c>
      <x:c r="X817" s="9" t="str">
        <x:v>Low</x:v>
      </x:c>
      <x:c r="Y817" s="9" t="str"/>
      <x:c r="Z817" s="9" t="str">
        <x:v>1 hr</x:v>
      </x:c>
      <x:c r="AA817" s="9" t="str">
        <x:v>A late, rare CD32-exclusive shooter with rendered FMV — and one of the system's priciest discs.</x:v>
      </x:c>
      <x:c r="AB817" s="9" t="str">
        <x:v>None known</x:v>
      </x:c>
      <x:c r="AC817" s="9" t="str">
        <x:v>Pre-rendered intro: MPEG with the CD32 FMV module, CDXL fallback without it (Generation Amiga, June 2026) — verify</x:v>
      </x:c>
      <x:c r="AD817" s="9" t="str">
        <x:v>Unknown — verify</x:v>
      </x:c>
      <x:c r="AE817" s="9" t="str">
        <x:v>Linear; one ending</x:v>
      </x:c>
      <x:c r="AF817" s="9"/>
      <x:c r="AG817" s="9" t="str"/>
      <x:c r="AH817" s="9" t="str">
        <x:v>No</x:v>
      </x:c>
      <x:c r="AI817" s="9" t="str">
        <x:v>Expensive</x:v>
      </x:c>
      <x:c r="AJ817" s="9" t="str">
        <x:v>Original CD32 (region-free discs) or FS-UAE/WinUAE CD32 emulation; also MiSTer Minimig/AmigaVision CD32 setups.</x:v>
      </x:c>
      <x:c r="AK817" s="9" t="str">
        <x:v>Single source for the module/CDXL video (Generation Amiga CDXL article, 2026) — verify. Wikipedia list: CD32 exclusive, FMV. PriceCharting NTSC page shows ~$250 loose, hence Expensive. na=false (verify).</x:v>
      </x:c>
      <x:c r="AL817" s="10" t="n">
        <x:v>249.99</x:v>
      </x:c>
      <x:c r="AM817" s="10" t="n">
        <x:v>549.98</x:v>
      </x:c>
      <x:c r="AN817" s="10" t="n">
        <x:v>1124.96</x:v>
      </x:c>
      <x:c r="AO817" s="9" t="str">
        <x:v>2026-10-24</x:v>
      </x:c>
      <x:c r="AP817" s="11" t="str">
        <x:f>HYPERLINK("https://www.pricecharting.com/game/amiga-cd32/the-final-gate","PriceCharting")</x:f>
        <x:v>PriceCharting</x:v>
      </x:c>
      <x:c r="AQ817" s="9"/>
      <x:c r="AR817" s="9"/>
      <x:c r="AS817" s="9"/>
      <x:c r="AT817" s="9"/>
      <x:c r="AU817" s="9"/>
      <x:c r="AV817" s="9"/>
      <x:c r="AW817" s="9"/>
      <x:c r="AX817" s="9"/>
      <x:c r="AY817" s="9"/>
      <x:c r="AZ817" s="9"/>
      <x:c r="BA817" s="11" t="str">
        <x:f>HYPERLINK("https://www.mobygames.com/search/?q=The+Final+Gate","MobyGames")</x:f>
        <x:v>MobyGames</x:v>
      </x:c>
      <x:c r="BB817" s="9"/>
      <x:c r="BC817" s="9"/>
      <x:c r="BD817" s="9"/>
      <x:c r="BE817" s="9"/>
      <x:c r="BF817" s="11" t="str">
        <x:f>HYPERLINK("https://backloggd.com/search/games/The%20Final%20Gate/","Backloggd")</x:f>
        <x:v>Backloggd</x:v>
      </x:c>
      <x:c r="BG817" s="9"/>
      <x:c r="BH817" s="9"/>
      <x:c r="BI817" s="12" t="str">
        <x:v>No</x:v>
      </x:c>
      <x:c r="BJ817" s="12" t="str"/>
      <x:c r="BK817" s="12" t="str">
        <x:v>No</x:v>
      </x:c>
      <x:c r="BL817" s="12" t="str"/>
      <x:c r="BM817" s="12" t="str"/>
      <x:c r="BN817" s="12" t="str"/>
      <x:c r="BO817" s="12" t="str"/>
      <x:c r="BP817" s="12" t="str"/>
      <x:c r="BQ817" s="12" t="str"/>
    </x:row>
    <x:row r="818">
      <x:c r="A818" s="9" t="str">
        <x:v>cd32-15</x:v>
      </x:c>
      <x:c r="B818" s="9" t="str">
        <x:v>star-crusader</x:v>
      </x:c>
      <x:c r="C818" s="9" t="str">
        <x:v>Amiga CD32</x:v>
      </x:c>
      <x:c r="D818" s="9" t="str">
        <x:v>Star Crusader</x:v>
      </x:c>
      <x:c r="E818" s="9" t="str"/>
      <x:c r="F818" s="9" t="str">
        <x:v>Take-Two Interactive (CD32 conversion: Human Soft — verify)</x:v>
      </x:c>
      <x:c r="G818" s="9" t="str">
        <x:v>GameTek</x:v>
      </x:c>
      <x:c r="H818" s="9" t="n">
        <x:v>1994</x:v>
      </x:c>
      <x:c r="I818" s="9" t="str">
        <x:v>No</x:v>
      </x:c>
      <x:c r="J818" s="9" t="str">
        <x:v>No</x:v>
      </x:c>
      <x:c r="K818" s="9" t="str">
        <x:v>Yes</x:v>
      </x:c>
      <x:c r="L818" s="9" t="str">
        <x:v>No</x:v>
      </x:c>
      <x:c r="M818" s="9" t="str">
        <x:v>Space combat sim</x:v>
      </x:c>
      <x:c r="N818" s="9" t="str">
        <x:v>Pre-rendered CG</x:v>
      </x:c>
      <x:c r="O818" s="9" t="n">
        <x:v>2</x:v>
      </x:c>
      <x:c r="P818" s="9" t="str">
        <x:v>Cutscenes only</x:v>
      </x:c>
      <x:c r="Q818" s="9" t="str">
        <x:v>Released</x:v>
      </x:c>
      <x:c r="R818" s="9" t="str">
        <x:v>DOS original (1994)</x:v>
      </x:c>
      <x:c r="S818" s="9" t="str">
        <x:v>DOS, Amiga AGA</x:v>
      </x:c>
      <x:c r="T818" s="9" t="str">
        <x:v>—</x:v>
      </x:c>
      <x:c r="U818" s="9" t="n">
        <x:v>1</x:v>
      </x:c>
      <x:c r="V818" s="9" t="str">
        <x:v>Yes</x:v>
      </x:c>
      <x:c r="W818" s="9" t="str">
        <x:v>CD32 joypad; runs on CD32 (and Amiga CD1200/A1200 with CD32 emulation). No FMV module needed.</x:v>
      </x:c>
      <x:c r="X818" s="9" t="str">
        <x:v>Low</x:v>
      </x:c>
      <x:c r="Y818" s="9" t="str"/>
      <x:c r="Z818" s="9" t="str">
        <x:v>10+ hr</x:v>
      </x:c>
      <x:c r="AA818" s="9" t="str">
        <x:v>Take-Two's Wing Commander rival on CD32, if its rendered cutscenes survived the port.</x:v>
      </x:c>
      <x:c r="AB818" s="9" t="str">
        <x:v>None known</x:v>
      </x:c>
      <x:c r="AC818" s="9" t="str">
        <x:v>Full-screen rendered movie intro that runs for minutes, plus many rendered CD intermovies with English speech (Amiga Joker, April 1996, CD32 review)</x:v>
      </x:c>
      <x:c r="AD818" s="9" t="str">
        <x:v>Unknown — verify</x:v>
      </x:c>
      <x:c r="AE818" s="9" t="str">
        <x:v>Linear; one ending</x:v>
      </x:c>
      <x:c r="AF818" s="9"/>
      <x:c r="AG818" s="9" t="str"/>
      <x:c r="AH818" s="9" t="str">
        <x:v>No</x:v>
      </x:c>
      <x:c r="AI818" s="9" t="str">
        <x:v>Easy</x:v>
      </x:c>
      <x:c r="AJ818" s="9" t="str">
        <x:v>Original CD32 (region-free discs) or FS-UAE/WinUAE CD32 emulation; also MiSTer Minimig/AmigaVision CD32 setups.</x:v>
      </x:c>
      <x:c r="AK818" s="9" t="str">
        <x:v>Video confirmed by Amiga Joker 4/96 and Amiga Format 4/96 (via amigareviews.leveluphost.com). Wikipedia list gives 1996 and Human Soft. Not on PriceCharting.</x:v>
      </x:c>
      <x:c r="AL818" s="10"/>
      <x:c r="AM818" s="10"/>
      <x:c r="AN818" s="10"/>
      <x:c r="AO818" s="9"/>
      <x:c r="AP818" s="11" t="str">
        <x:f>HYPERLINK("https://www.pricecharting.com/search-products?q=Star+Crusader+amiga+cd32&amp;type=prices","PriceCharting")</x:f>
        <x:v>PriceCharting</x:v>
      </x:c>
      <x:c r="AQ818" s="9"/>
      <x:c r="AR818" s="9"/>
      <x:c r="AS818" s="9"/>
      <x:c r="AT818" s="9"/>
      <x:c r="AU818" s="9"/>
      <x:c r="AV818" s="9"/>
      <x:c r="AW818" s="9"/>
      <x:c r="AX818" s="9"/>
      <x:c r="AY818" s="9"/>
      <x:c r="AZ818" s="9"/>
      <x:c r="BA818" s="11" t="str">
        <x:f>HYPERLINK("https://www.mobygames.com/search/?q=Star+Crusader","MobyGames")</x:f>
        <x:v>MobyGames</x:v>
      </x:c>
      <x:c r="BB818" s="9"/>
      <x:c r="BC818" s="9"/>
      <x:c r="BD818" s="9"/>
      <x:c r="BE818" s="9"/>
      <x:c r="BF818" s="11" t="str">
        <x:f>HYPERLINK("https://backloggd.com/search/games/Star%20Crusader/","Backloggd")</x:f>
        <x:v>Backloggd</x:v>
      </x:c>
      <x:c r="BG818" s="9"/>
      <x:c r="BH818" s="9"/>
      <x:c r="BI818" s="12" t="str">
        <x:v>No</x:v>
      </x:c>
      <x:c r="BJ818" s="12" t="str"/>
      <x:c r="BK818" s="12" t="str">
        <x:v>No</x:v>
      </x:c>
      <x:c r="BL818" s="12" t="str"/>
      <x:c r="BM818" s="12" t="str"/>
      <x:c r="BN818" s="12" t="str"/>
      <x:c r="BO818" s="12" t="str"/>
      <x:c r="BP818" s="12" t="str"/>
      <x:c r="BQ818" s="12" t="str"/>
    </x:row>
    <x:row r="819">
      <x:c r="A819" s="9" t="str">
        <x:v>cd32-16</x:v>
      </x:c>
      <x:c r="B819" s="9" t="str">
        <x:v>gunship-2000</x:v>
      </x:c>
      <x:c r="C819" s="9" t="str">
        <x:v>Amiga CD32</x:v>
      </x:c>
      <x:c r="D819" s="9" t="str">
        <x:v>Gunship 2000</x:v>
      </x:c>
      <x:c r="E819" s="9" t="str"/>
      <x:c r="F819" s="9" t="str">
        <x:v>MicroProse</x:v>
      </x:c>
      <x:c r="G819" s="9" t="str">
        <x:v>MicroProse</x:v>
      </x:c>
      <x:c r="H819" s="9" t="n">
        <x:v>1994</x:v>
      </x:c>
      <x:c r="I819" s="9" t="str">
        <x:v>No</x:v>
      </x:c>
      <x:c r="J819" s="9" t="str">
        <x:v>No</x:v>
      </x:c>
      <x:c r="K819" s="9" t="str">
        <x:v>Yes</x:v>
      </x:c>
      <x:c r="L819" s="9" t="str">
        <x:v>No</x:v>
      </x:c>
      <x:c r="M819" s="9" t="str">
        <x:v>Helicopter combat simulation</x:v>
      </x:c>
      <x:c r="N819" s="9" t="str">
        <x:v>Pre-rendered CG</x:v>
      </x:c>
      <x:c r="O819" s="9" t="n">
        <x:v>1</x:v>
      </x:c>
      <x:c r="P819" s="9" t="str">
        <x:v>Cutscenes only</x:v>
      </x:c>
      <x:c r="Q819" s="9" t="str">
        <x:v>Released</x:v>
      </x:c>
      <x:c r="R819" s="9" t="str">
        <x:v>PC original (MicroProse, 1991)</x:v>
      </x:c>
      <x:c r="S819" s="9" t="str">
        <x:v>DOS, Amiga</x:v>
      </x:c>
      <x:c r="T819" s="9" t="str">
        <x:v>—</x:v>
      </x:c>
      <x:c r="U819" s="9" t="n">
        <x:v>1</x:v>
      </x:c>
      <x:c r="V819" s="9" t="str">
        <x:v>Unknown — verify</x:v>
      </x:c>
      <x:c r="W819" s="9" t="str">
        <x:v>CD32 joypad; runs on CD32 (and Amiga CD1200/A1200 with CD32 emulation). No FMV module needed.</x:v>
      </x:c>
      <x:c r="X819" s="9" t="str">
        <x:v>Low</x:v>
      </x:c>
      <x:c r="Y819" s="9" t="str"/>
      <x:c r="Z819" s="9" t="str">
        <x:v>10+ hr (campaign)</x:v>
      </x:c>
      <x:c r="AA819" s="9" t="str">
        <x:v>MicroProse's Apache and Comanche sim on CD32, opening with a rendered CDXL movie the floppy version never had.</x:v>
      </x:c>
      <x:c r="AB819" s="9" t="str">
        <x:v>None known</x:v>
      </x:c>
      <x:c r="AC819" s="9" t="str">
        <x:v>Rendered CDXL intro movie streamed from CD (Exotica lists audio extracted from the disc's CDXL movies; Generation Amiga calls it a rendered CDXL intro)</x:v>
      </x:c>
      <x:c r="AD819" s="9" t="str">
        <x:v>Simulation; steep controls on a joypad (verify)</x:v>
      </x:c>
      <x:c r="AE819" s="9" t="str">
        <x:v>Campaign; no story ending</x:v>
      </x:c>
      <x:c r="AF819" s="9" t="str">
        <x:v>Exotica credits the intro music to John Broomhall and Andrew Parton.</x:v>
      </x:c>
      <x:c r="AG819" s="9" t="str">
        <x:v>PAL CD32 release</x:v>
      </x:c>
      <x:c r="AH819" s="9" t="str">
        <x:v>No</x:v>
      </x:c>
      <x:c r="AI819" s="9" t="str">
        <x:v>Easy</x:v>
      </x:c>
      <x:c r="AJ819" s="9" t="str">
        <x:v>Original CD32 (region-free discs) or FS-UAE/WinUAE CD32 emulation.</x:v>
      </x:c>
      <x:c r="AK819" s="9" t="str">
        <x:v>CDXL intro confirmed by Exotica (exotica.org.uk/wiki/Gunship_2000_(CD32)). Added in the borderline review, Oct 2026. Price not fetched.</x:v>
      </x:c>
      <x:c r="AL819" s="10" t="n">
        <x:v>24.36</x:v>
      </x:c>
      <x:c r="AM819" s="10" t="n">
        <x:v>75.95</x:v>
      </x:c>
      <x:c r="AN819" s="10" t="n">
        <x:v>152</x:v>
      </x:c>
      <x:c r="AO819" s="9" t="str">
        <x:v>2026-10-24</x:v>
      </x:c>
      <x:c r="AP819" s="11" t="str">
        <x:f>HYPERLINK("https://www.pricecharting.com/game/pal-amiga-cd32/gunship-2000","PriceCharting")</x:f>
        <x:v>PriceCharting</x:v>
      </x:c>
      <x:c r="AQ819" s="9"/>
      <x:c r="AR819" s="9"/>
      <x:c r="AS819" s="9"/>
      <x:c r="AT819" s="9"/>
      <x:c r="AU819" s="9"/>
      <x:c r="AV819" s="9"/>
      <x:c r="AW819" s="9"/>
      <x:c r="AX819" s="9"/>
      <x:c r="AY819" s="9" t="str">
        <x:v>80%</x:v>
      </x:c>
      <x:c r="AZ819" s="9" t="str">
        <x:v>4.7</x:v>
      </x:c>
      <x:c r="BA819" s="11" t="str">
        <x:f>HYPERLINK("https://www.mobygames.com/game/amiga-cd32/gunship-2000","MobyGames")</x:f>
        <x:v>MobyGames</x:v>
      </x:c>
      <x:c r="BB819" s="9"/>
      <x:c r="BC819" s="9"/>
      <x:c r="BD819" s="9"/>
      <x:c r="BE819" s="11" t="str">
        <x:f>HYPERLINK("https://en.wikipedia.org/wiki/Gunship_2000","Wikipedia")</x:f>
        <x:v>Wikipedia</x:v>
      </x:c>
      <x:c r="BF819" s="11" t="str">
        <x:f>HYPERLINK("https://backloggd.com/search/games/Gunship%202000/","Backloggd")</x:f>
        <x:v>Backloggd</x:v>
      </x:c>
      <x:c r="BG819" s="9"/>
      <x:c r="BH819" s="9"/>
      <x:c r="BI819" s="12" t="str">
        <x:v>No</x:v>
      </x:c>
      <x:c r="BJ819" s="12" t="str"/>
      <x:c r="BK819" s="12" t="str">
        <x:v>No</x:v>
      </x:c>
      <x:c r="BL819" s="12" t="str"/>
      <x:c r="BM819" s="12" t="str"/>
      <x:c r="BN819" s="12" t="str"/>
      <x:c r="BO819" s="12" t="str"/>
      <x:c r="BP819" s="12" t="str"/>
      <x:c r="BQ819" s="12" t="str"/>
    </x:row>
    <x:row r="820">
      <x:c r="A820" s="9" t="str">
        <x:v>cd32-17</x:v>
      </x:c>
      <x:c r="B820" s="9" t="str">
        <x:v>falcon</x:v>
      </x:c>
      <x:c r="C820" s="9" t="str">
        <x:v>Amiga CD32</x:v>
      </x:c>
      <x:c r="D820" s="9" t="str">
        <x:v>Falcon</x:v>
      </x:c>
      <x:c r="E820" s="9" t="str"/>
      <x:c r="F820" s="9" t="str">
        <x:v>Spectrum HoloByte (Amiga conversion by Rowan Software)</x:v>
      </x:c>
      <x:c r="G820" s="9" t="str">
        <x:v>Spectrum HoloByte / Mirrorsoft</x:v>
      </x:c>
      <x:c r="H820" s="9" t="n">
        <x:v>1992</x:v>
      </x:c>
      <x:c r="I820" s="9" t="str">
        <x:v>No</x:v>
      </x:c>
      <x:c r="J820" s="9" t="str">
        <x:v>No</x:v>
      </x:c>
      <x:c r="K820" s="9" t="str">
        <x:v>Yes</x:v>
      </x:c>
      <x:c r="L820" s="9" t="str">
        <x:v>No</x:v>
      </x:c>
      <x:c r="M820" s="9" t="str">
        <x:v>F-16 flight simulation</x:v>
      </x:c>
      <x:c r="N820" s="9" t="str">
        <x:v>Unknown — verify</x:v>
      </x:c>
      <x:c r="O820" s="9" t="n">
        <x:v>1</x:v>
      </x:c>
      <x:c r="P820" s="9" t="str">
        <x:v>Cutscenes only</x:v>
      </x:c>
      <x:c r="Q820" s="9" t="str">
        <x:v>Released</x:v>
      </x:c>
      <x:c r="R820" s="9" t="str">
        <x:v>PC/Amiga original (Spectrum HoloByte, 1987)</x:v>
      </x:c>
      <x:c r="S820" s="9" t="str">
        <x:v>DOS, Amiga, Atari ST, Mac</x:v>
      </x:c>
      <x:c r="T820" s="9" t="str">
        <x:v>—</x:v>
      </x:c>
      <x:c r="U820" s="9" t="n">
        <x:v>1</x:v>
      </x:c>
      <x:c r="V820" s="9" t="str">
        <x:v>Unknown — verify</x:v>
      </x:c>
      <x:c r="W820" s="9" t="str">
        <x:v>CDTV with mouse or joystick (verify); CD32 compatibility not confirmed</x:v>
      </x:c>
      <x:c r="X820" s="9" t="str">
        <x:v>Low</x:v>
      </x:c>
      <x:c r="Y820" s="9" t="str"/>
      <x:c r="Z820" s="9" t="str">
        <x:v>Open-ended</x:v>
      </x:c>
      <x:c r="AA820" s="9" t="str">
        <x:v>The classic F-16 sim on Commodore's CDTV, which dressed it up with CDXL video sequences and speech.</x:v>
      </x:c>
      <x:c r="AB820" s="9" t="str">
        <x:v>None known</x:v>
      </x:c>
      <x:c r="AC820" s="9" t="str">
        <x:v>CDXL video sequences added for the CDTV edition (Generation Amiga, June 2026) — verify content and size</x:v>
      </x:c>
      <x:c r="AD820" s="9" t="str">
        <x:v>Simulation</x:v>
      </x:c>
      <x:c r="AE820" s="9" t="str">
        <x:v>None; mission-based</x:v>
      </x:c>
      <x:c r="AF820" s="9" t="str">
        <x:v>Wikipedia: the CDTV version was published by Spectrum HoloByte and Mirrorsoft in 1992.</x:v>
      </x:c>
      <x:c r="AG820" s="9" t="str"/>
      <x:c r="AH820" s="9" t="str">
        <x:v>No</x:v>
      </x:c>
      <x:c r="AI820" s="9" t="str">
        <x:v>Easy</x:v>
      </x:c>
      <x:c r="AJ820" s="9" t="str">
        <x:v>Original CDTV or FS-UAE/WinUAE CDTV emulation.</x:v>
      </x:c>
      <x:c r="AK820" s="9" t="str">
        <x:v>Single source for the video (Generation Amiga CDXL article, 2026) — verify with a capture. Added in the borderline review, Oct 2026.</x:v>
      </x:c>
      <x:c r="AL820" s="10"/>
      <x:c r="AM820" s="10"/>
      <x:c r="AN820" s="10"/>
      <x:c r="AO820" s="9"/>
      <x:c r="AP820" s="11" t="str">
        <x:f>HYPERLINK("https://www.pricecharting.com/search-products?q=Falcon+amiga+cd32&amp;type=prices","PriceCharting")</x:f>
        <x:v>PriceCharting</x:v>
      </x:c>
      <x:c r="AQ820" s="9"/>
      <x:c r="AR820" s="9"/>
      <x:c r="AS820" s="9"/>
      <x:c r="AT820" s="9"/>
      <x:c r="AU820" s="9"/>
      <x:c r="AV820" s="9"/>
      <x:c r="AW820" s="9"/>
      <x:c r="AX820" s="9"/>
      <x:c r="AY820" s="9"/>
      <x:c r="AZ820" s="9" t="str">
        <x:v>4.5</x:v>
      </x:c>
      <x:c r="BA820" s="11" t="str">
        <x:f>HYPERLINK("https://www.mobygames.com/game/cdtv/falcon","MobyGames")</x:f>
        <x:v>MobyGames</x:v>
      </x:c>
      <x:c r="BB820" s="9"/>
      <x:c r="BC820" s="9"/>
      <x:c r="BD820" s="9"/>
      <x:c r="BE820" s="11" t="str">
        <x:f>HYPERLINK("https://en.wikipedia.org/wiki/Falcon_(video_game)","Wikipedia")</x:f>
        <x:v>Wikipedia</x:v>
      </x:c>
      <x:c r="BF820" s="11" t="str">
        <x:f>HYPERLINK("https://backloggd.com/search/games/Falcon/","Backloggd")</x:f>
        <x:v>Backloggd</x:v>
      </x:c>
      <x:c r="BG820" s="9"/>
      <x:c r="BH820" s="9"/>
      <x:c r="BI820" s="12" t="str">
        <x:v>No</x:v>
      </x:c>
      <x:c r="BJ820" s="12" t="str"/>
      <x:c r="BK820" s="12" t="str">
        <x:v>No</x:v>
      </x:c>
      <x:c r="BL820" s="12" t="str"/>
      <x:c r="BM820" s="12" t="str"/>
      <x:c r="BN820" s="12" t="str"/>
      <x:c r="BO820" s="12" t="str"/>
      <x:c r="BP820" s="12" t="str"/>
      <x:c r="BQ820" s="12" t="str"/>
    </x:row>
    <x:row r="821">
      <x:c r="A821" s="9" t="str">
        <x:v>saturn-76</x:v>
      </x:c>
      <x:c r="B821" s="9" t="str">
        <x:v>hokuto-no-ken</x:v>
      </x:c>
      <x:c r="C821" s="9" t="str">
        <x:v>Sega Saturn</x:v>
      </x:c>
      <x:c r="D821" s="9" t="str">
        <x:v>Hokuto no Ken</x:v>
      </x:c>
      <x:c r="E821" s="9" t="str">
        <x:v>Fist of the North Star</x:v>
      </x:c>
      <x:c r="F821" s="9" t="str">
        <x:v>Banpresto</x:v>
      </x:c>
      <x:c r="G821" s="9" t="str">
        <x:v>Banpresto</x:v>
      </x:c>
      <x:c r="H821" s="9" t="n">
        <x:v>1995</x:v>
      </x:c>
      <x:c r="I821" s="9" t="str">
        <x:v>No</x:v>
      </x:c>
      <x:c r="J821" s="9" t="str">
        <x:v>Yes</x:v>
      </x:c>
      <x:c r="K821" s="9" t="str">
        <x:v>No</x:v>
      </x:c>
      <x:c r="L821" s="9" t="str">
        <x:v>No</x:v>
      </x:c>
      <x:c r="M821" s="9" t="str">
        <x:v>Graphic adventure</x:v>
      </x:c>
      <x:c r="N821" s="9" t="str">
        <x:v>Animated</x:v>
      </x:c>
      <x:c r="O821" s="9" t="n">
        <x:v>3</x:v>
      </x:c>
      <x:c r="P821" s="9" t="str">
        <x:v>Cutscenes only</x:v>
      </x:c>
      <x:c r="Q821" s="9" t="str">
        <x:v>Released</x:v>
      </x:c>
      <x:c r="R821" s="9" t="str">
        <x:v>Anime/manga license (Fist of the North Star)</x:v>
      </x:c>
      <x:c r="S821" s="9" t="str">
        <x:v>PlayStation (1996, slightly different)</x:v>
      </x:c>
      <x:c r="T821" s="9" t="str">
        <x:v>Akira Kamiya (Kenshiro), Kenji Utsumi, Toshiyuki Morikawa, Nobuyuki Hiyama</x:v>
      </x:c>
      <x:c r="U821" s="9" t="n">
        <x:v>1</x:v>
      </x:c>
      <x:c r="V821" s="9" t="str">
        <x:v>Yes</x:v>
      </x:c>
      <x:c r="W821" s="9" t="str">
        <x:v>Standard pad</x:v>
      </x:c>
      <x:c r="X821" s="9" t="str">
        <x:v>Med</x:v>
      </x:c>
      <x:c r="Y821" s="9" t="str">
        <x:v>Fist of the North Star anime license and music (verify)</x:v>
      </x:c>
      <x:c r="Z821" s="9" t="str">
        <x:v>5–8 hr (verify)</x:v>
      </x:c>
      <x:c r="AA821" s="9" t="str">
        <x:v>An original Kenshiro story told as a Saturn adventure with the TV anime's voice cast and animated cutscenes.</x:v>
      </x:c>
      <x:c r="AB821" s="9" t="str">
        <x:v>None known</x:v>
      </x:c>
      <x:c r="AC821" s="9" t="str">
        <x:v>"Plenty of animated cutscenes" at story points (flyingomelette Hokuto database); window size and whether they are new animation or TV footage — verify</x:v>
      </x:c>
      <x:c r="AD821" s="9" t="str">
        <x:v>Unknown — verify</x:v>
      </x:c>
      <x:c r="AE821" s="9" t="str">
        <x:v>Unknown — verify</x:v>
      </x:c>
      <x:c r="AF821" s="9" t="str">
        <x:v>Set after the original manga on an alternate timeline (Hokuto no Ken wiki).</x:v>
      </x:c>
      <x:c r="AG821" s="9" t="str">
        <x:v>Japan only; PlayStation version August 1996</x:v>
      </x:c>
      <x:c r="AH821" s="9" t="str">
        <x:v>No</x:v>
      </x:c>
      <x:c r="AI821" s="9" t="str">
        <x:v>Import</x:v>
      </x:c>
      <x:c r="AJ821" s="9" t="str">
        <x:v>Original Japanese Saturn (region-locked: needs a JP console, a region switch or a modchip) or Saturn emulation (Mednafen/Beetle Saturn, SSF).</x:v>
      </x:c>
      <x:c r="AK821" s="9" t="str">
        <x:v>Japan only, no fan translation known (verify). Added in the borderline review, Oct 2026.</x:v>
      </x:c>
      <x:c r="AL821" s="10" t="n">
        <x:v>24.55</x:v>
      </x:c>
      <x:c r="AM821" s="10" t="n">
        <x:v>27.16</x:v>
      </x:c>
      <x:c r="AN821" s="10" t="n">
        <x:v>46</x:v>
      </x:c>
      <x:c r="AO821" s="9" t="str">
        <x:v>2026-10-21</x:v>
      </x:c>
      <x:c r="AP821" s="11" t="str">
        <x:f>HYPERLINK("https://www.pricecharting.com/game/jp-sega-saturn/hokuto-no-ken","PriceCharting")</x:f>
        <x:v>PriceCharting</x:v>
      </x:c>
      <x:c r="AQ821" s="9"/>
      <x:c r="AR821" s="9"/>
      <x:c r="AS821" s="9"/>
      <x:c r="AT821" s="9"/>
      <x:c r="AU821" s="9"/>
      <x:c r="AV821" s="9"/>
      <x:c r="AW821" s="9"/>
      <x:c r="AX821" s="9"/>
      <x:c r="AY821" s="9"/>
      <x:c r="AZ821" s="9"/>
      <x:c r="BA821" s="11" t="str">
        <x:f>HYPERLINK("https://www.mobygames.com/search/?q=Hokuto+no+Ken","MobyGames")</x:f>
        <x:v>MobyGames</x:v>
      </x:c>
      <x:c r="BB821" s="9"/>
      <x:c r="BC821" s="9"/>
      <x:c r="BD821" s="9"/>
      <x:c r="BE821" s="11" t="str">
        <x:f>HYPERLINK("https://en.wikipedia.org/wiki/List_of_Fist_of_the_North_Star_video_games","Wikipedia")</x:f>
        <x:v>Wikipedia</x:v>
      </x:c>
      <x:c r="BF821" s="11" t="str">
        <x:f>HYPERLINK("https://backloggd.com/search/games/Hokuto%20no%20Ken/","Backloggd")</x:f>
        <x:v>Backloggd</x:v>
      </x:c>
      <x:c r="BG821" s="9"/>
      <x:c r="BH821" s="9"/>
      <x:c r="BI821" s="12" t="str">
        <x:v>No</x:v>
      </x:c>
      <x:c r="BJ821" s="12" t="str"/>
      <x:c r="BK821" s="12" t="str">
        <x:v>No</x:v>
      </x:c>
      <x:c r="BL821" s="12" t="str"/>
      <x:c r="BM821" s="12" t="str"/>
      <x:c r="BN821" s="12" t="str"/>
      <x:c r="BO821" s="12" t="str"/>
      <x:c r="BP821" s="12" t="str"/>
      <x:c r="BQ821" s="12" t="str"/>
    </x:row>
    <x:row r="822">
      <x:c r="A822" s="9" t="str">
        <x:v>saturn-77</x:v>
      </x:c>
      <x:c r="B822" s="9" t="str">
        <x:v>slayers-royal</x:v>
      </x:c>
      <x:c r="C822" s="9" t="str">
        <x:v>Sega Saturn</x:v>
      </x:c>
      <x:c r="D822" s="9" t="str">
        <x:v>Slayers Royal</x:v>
      </x:c>
      <x:c r="E822" s="9" t="str"/>
      <x:c r="F822" s="9" t="str">
        <x:v>Onion Egg</x:v>
      </x:c>
      <x:c r="G822" s="9" t="str">
        <x:v>Entertainment Software Publishing (ESP)</x:v>
      </x:c>
      <x:c r="H822" s="9" t="n">
        <x:v>1997</x:v>
      </x:c>
      <x:c r="I822" s="9" t="str">
        <x:v>No</x:v>
      </x:c>
      <x:c r="J822" s="9" t="str">
        <x:v>Yes</x:v>
      </x:c>
      <x:c r="K822" s="9" t="str">
        <x:v>No</x:v>
      </x:c>
      <x:c r="L822" s="9" t="str">
        <x:v>No</x:v>
      </x:c>
      <x:c r="M822" s="9" t="str">
        <x:v>Tactical RPG</x:v>
      </x:c>
      <x:c r="N822" s="9" t="str">
        <x:v>Animated</x:v>
      </x:c>
      <x:c r="O822" s="9" t="n">
        <x:v>3</x:v>
      </x:c>
      <x:c r="P822" s="9" t="str">
        <x:v>Cutscenes only</x:v>
      </x:c>
      <x:c r="Q822" s="9" t="str">
        <x:v>Released</x:v>
      </x:c>
      <x:c r="R822" s="9" t="str">
        <x:v>Anime/light novel license (Slayers)</x:v>
      </x:c>
      <x:c r="S822" s="9" t="str">
        <x:v>PlayStation (1998, improved FMV)</x:v>
      </x:c>
      <x:c r="T822" s="9" t="str">
        <x:v>Megumi Hayashibara, Maria Kawamura, Yasunori Matsumoto, Hikaru Midorikawa</x:v>
      </x:c>
      <x:c r="U822" s="9" t="n">
        <x:v>1</x:v>
      </x:c>
      <x:c r="V822" s="9" t="str">
        <x:v>Yes</x:v>
      </x:c>
      <x:c r="W822" s="9" t="str">
        <x:v>Standard pad</x:v>
      </x:c>
      <x:c r="X822" s="9" t="str">
        <x:v>Med</x:v>
      </x:c>
      <x:c r="Y822" s="9" t="str">
        <x:v>Slayers anime license; theme songs (verify)</x:v>
      </x:c>
      <x:c r="Z822" s="9" t="str">
        <x:v>15–25 hr (verify)</x:v>
      </x:c>
      <x:c r="AA822" s="9" t="str">
        <x:v>The first Slayers game with full-motion anime cutscenes, and the number-two seller on any Japanese platform in its launch month.</x:v>
      </x:c>
      <x:c r="AB822" s="9" t="str">
        <x:v>None known</x:v>
      </x:c>
      <x:c r="AC822" s="9" t="str">
        <x:v>Anime FMV cutscenes, the first in the Slayers games (Wikipedia); the PlayStation port improved their quality</x:v>
      </x:c>
      <x:c r="AD822" s="9" t="str">
        <x:v>Moderate</x:v>
      </x:c>
      <x:c r="AE822" s="9" t="str">
        <x:v>Single ending (verify)</x:v>
      </x:c>
      <x:c r="AF822" s="9" t="str">
        <x:v>The Saturn version was the second best-selling game on any platform in Japan in August 1997; Consoles+ gave it 90%.</x:v>
      </x:c>
      <x:c r="AG822" s="9" t="str">
        <x:v>Japan only; PlayStation port April 1998</x:v>
      </x:c>
      <x:c r="AH822" s="9" t="str">
        <x:v>No</x:v>
      </x:c>
      <x:c r="AI822" s="9" t="str">
        <x:v>Import</x:v>
      </x:c>
      <x:c r="AJ822" s="9" t="str">
        <x:v>Original Japanese Saturn (region-locked: needs a JP console, a region switch or a modchip) or Saturn emulation (Mednafen/Beetle Saturn, SSF).</x:v>
      </x:c>
      <x:c r="AK822" s="9" t="str">
        <x:v>Japan only. Added in the borderline review, Oct 2026.</x:v>
      </x:c>
      <x:c r="AL822" s="10" t="n">
        <x:v>4.72</x:v>
      </x:c>
      <x:c r="AM822" s="10" t="n">
        <x:v>10.15</x:v>
      </x:c>
      <x:c r="AN822" s="10" t="n">
        <x:v>17</x:v>
      </x:c>
      <x:c r="AO822" s="9" t="str">
        <x:v>2026-10-21</x:v>
      </x:c>
      <x:c r="AP822" s="11" t="str">
        <x:f>HYPERLINK("https://www.pricecharting.com/game/jp-sega-saturn/slayers-royal","PriceCharting")</x:f>
        <x:v>PriceCharting</x:v>
      </x:c>
      <x:c r="AQ822" s="9"/>
      <x:c r="AR822" s="9"/>
      <x:c r="AS822" s="9"/>
      <x:c r="AT822" s="9"/>
      <x:c r="AU822" s="9"/>
      <x:c r="AV822" s="9"/>
      <x:c r="AW822" s="9"/>
      <x:c r="AX822" s="9"/>
      <x:c r="AY822" s="9"/>
      <x:c r="AZ822" s="9" t="str">
        <x:v>3.6</x:v>
      </x:c>
      <x:c r="BA822" s="11" t="str">
        <x:f>HYPERLINK("https://www.mobygames.com/search/?q=Slayers+Royal","MobyGames")</x:f>
        <x:v>MobyGames</x:v>
      </x:c>
      <x:c r="BB822" s="9"/>
      <x:c r="BC822" s="9"/>
      <x:c r="BD822" s="9"/>
      <x:c r="BE822" s="11" t="str">
        <x:f>HYPERLINK("https://en.wikipedia.org/wiki/Slayers_Royal","Wikipedia")</x:f>
        <x:v>Wikipedia</x:v>
      </x:c>
      <x:c r="BF822" s="11" t="str">
        <x:f>HYPERLINK("https://backloggd.com/search/games/Slayers%20Royal/","Backloggd")</x:f>
        <x:v>Backloggd</x:v>
      </x:c>
      <x:c r="BG822" s="9"/>
      <x:c r="BH822" s="9"/>
      <x:c r="BI822" s="12" t="str">
        <x:v>No</x:v>
      </x:c>
      <x:c r="BJ822" s="12" t="str"/>
      <x:c r="BK822" s="12" t="str">
        <x:v>No</x:v>
      </x:c>
      <x:c r="BL822" s="12" t="str"/>
      <x:c r="BM822" s="12" t="str"/>
      <x:c r="BN822" s="12" t="str"/>
      <x:c r="BO822" s="12" t="str"/>
      <x:c r="BP822" s="12" t="str"/>
      <x:c r="BQ822" s="12" t="str"/>
    </x:row>
    <x:row r="823">
      <x:c r="A823" s="9" t="str">
        <x:v>saturn-78</x:v>
      </x:c>
      <x:c r="B823" s="9" t="str">
        <x:v>ginga-ojosama-densetsu-yuna</x:v>
      </x:c>
      <x:c r="C823" s="9" t="str">
        <x:v>Sega Saturn</x:v>
      </x:c>
      <x:c r="D823" s="9" t="str">
        <x:v>Ginga Ojōsama Densetsu Yuna Remix</x:v>
      </x:c>
      <x:c r="E823" s="9" t="str">
        <x:v>Galaxy Fräulein Yuna Remix</x:v>
      </x:c>
      <x:c r="F823" s="9" t="str">
        <x:v>Hudson Soft / Red Company (verify)</x:v>
      </x:c>
      <x:c r="G823" s="9" t="str">
        <x:v>Hudson Soft</x:v>
      </x:c>
      <x:c r="H823" s="9" t="n">
        <x:v>1996</x:v>
      </x:c>
      <x:c r="I823" s="9" t="str">
        <x:v>No</x:v>
      </x:c>
      <x:c r="J823" s="9" t="str">
        <x:v>Yes</x:v>
      </x:c>
      <x:c r="K823" s="9" t="str">
        <x:v>No</x:v>
      </x:c>
      <x:c r="L823" s="9" t="str">
        <x:v>No</x:v>
      </x:c>
      <x:c r="M823" s="9" t="str">
        <x:v>Visual novel / adventure</x:v>
      </x:c>
      <x:c r="N823" s="9" t="str">
        <x:v>Animated</x:v>
      </x:c>
      <x:c r="O823" s="9" t="n">
        <x:v>3</x:v>
      </x:c>
      <x:c r="P823" s="9" t="str">
        <x:v>Cutscenes only</x:v>
      </x:c>
      <x:c r="Q823" s="9" t="str">
        <x:v>Released</x:v>
      </x:c>
      <x:c r="R823" s="9" t="str">
        <x:v>Remake of the 1992 PC Engine Super CD-ROM² game</x:v>
      </x:c>
      <x:c r="S823" s="9" t="str">
        <x:v>PC Engine Super CD-ROM² (original, 1992); PSP (Galaxy Fräulein Collection, 2008)</x:v>
      </x:c>
      <x:c r="T823" s="9" t="str">
        <x:v>Original anime voice cast (verify)</x:v>
      </x:c>
      <x:c r="U823" s="9" t="n">
        <x:v>1</x:v>
      </x:c>
      <x:c r="V823" s="9" t="str">
        <x:v>Yes</x:v>
      </x:c>
      <x:c r="W823" s="9" t="str">
        <x:v>Standard pad</x:v>
      </x:c>
      <x:c r="X823" s="9" t="str">
        <x:v>Low–Med</x:v>
      </x:c>
      <x:c r="Y823" s="9" t="str">
        <x:v>Anime music (verify)</x:v>
      </x:c>
      <x:c r="Z823" s="9" t="str">
        <x:v>4–6 hr (verify)</x:v>
      </x:c>
      <x:c r="AA823" s="9" t="str">
        <x:v>Hudson's idol space-opera remade for Saturn with new anime cutscenes, by the people behind the PC-FX Yuna FX.</x:v>
      </x:c>
      <x:c r="AB823" s="9" t="str">
        <x:v>None known</x:v>
      </x:c>
      <x:c r="AC823" s="9" t="str">
        <x:v>New animation cutscenes added for the Saturn remake (Wikipedia) — window size and length verify</x:v>
      </x:c>
      <x:c r="AD823" s="9" t="str">
        <x:v>Easy</x:v>
      </x:c>
      <x:c r="AE823" s="9" t="str">
        <x:v>Single ending (verify)</x:v>
      </x:c>
      <x:c r="AF823" s="9" t="str">
        <x:v>Came in normal and collector's editions.</x:v>
      </x:c>
      <x:c r="AG823" s="9" t="str">
        <x:v>Japan only; normal and collector's editions</x:v>
      </x:c>
      <x:c r="AH823" s="9" t="str">
        <x:v>No</x:v>
      </x:c>
      <x:c r="AI823" s="9" t="str">
        <x:v>Import</x:v>
      </x:c>
      <x:c r="AJ823" s="9" t="str">
        <x:v>Original Japanese Saturn (region-locked: needs a JP console, a region switch or a modchip) or Saturn emulation (Mednafen/Beetle Saturn, SSF).</x:v>
      </x:c>
      <x:c r="AK823" s="9" t="str">
        <x:v>Japan only. PC-FX Yuna FX (pcfx-11) is a different game in the series. Added in the borderline review, Oct 2026.</x:v>
      </x:c>
      <x:c r="AL823" s="10" t="n">
        <x:v>8.61</x:v>
      </x:c>
      <x:c r="AM823" s="10" t="n">
        <x:v>40.22</x:v>
      </x:c>
      <x:c r="AN823" s="10" t="n">
        <x:v>68</x:v>
      </x:c>
      <x:c r="AO823" s="9" t="str">
        <x:v>2026-10-21</x:v>
      </x:c>
      <x:c r="AP823" s="11" t="str">
        <x:f>HYPERLINK("https://www.pricecharting.com/game/jp-sega-saturn/ginga-ojousama-densetsu-yuna-remix","PriceCharting")</x:f>
        <x:v>PriceCharting</x:v>
      </x:c>
      <x:c r="AQ823" s="9"/>
      <x:c r="AR823" s="9"/>
      <x:c r="AS823" s="9"/>
      <x:c r="AT823" s="9"/>
      <x:c r="AU823" s="9"/>
      <x:c r="AV823" s="9"/>
      <x:c r="AW823" s="9"/>
      <x:c r="AX823" s="9"/>
      <x:c r="AY823" s="9"/>
      <x:c r="AZ823" s="9"/>
      <x:c r="BA823" s="11" t="str">
        <x:f>HYPERLINK("https://www.mobygames.com/search/?q=Ginga+Oj%C5%8Dsama+Densetsu+Yuna+Remix","MobyGames")</x:f>
        <x:v>MobyGames</x:v>
      </x:c>
      <x:c r="BB823" s="9"/>
      <x:c r="BC823" s="9"/>
      <x:c r="BD823" s="9"/>
      <x:c r="BE823" s="11" t="str">
        <x:f>HYPERLINK("https://en.wikipedia.org/wiki/Galaxy_Fr%C3%A4ulein_Yuna","Wikipedia")</x:f>
        <x:v>Wikipedia</x:v>
      </x:c>
      <x:c r="BF823" s="11" t="str">
        <x:f>HYPERLINK("https://backloggd.com/search/games/Ginga%20Oj%C5%8Dsama%20Densetsu%20Yuna%20Remix/","Backloggd")</x:f>
        <x:v>Backloggd</x:v>
      </x:c>
      <x:c r="BG823" s="9"/>
      <x:c r="BH823" s="9"/>
      <x:c r="BI823" s="12" t="str">
        <x:v>No</x:v>
      </x:c>
      <x:c r="BJ823" s="12" t="str"/>
      <x:c r="BK823" s="12" t="str">
        <x:v>No</x:v>
      </x:c>
      <x:c r="BL823" s="12" t="str"/>
      <x:c r="BM823" s="12" t="str"/>
      <x:c r="BN823" s="12" t="str"/>
      <x:c r="BO823" s="12" t="str"/>
      <x:c r="BP823" s="12" t="str"/>
      <x:c r="BQ823" s="12" t="str"/>
    </x:row>
    <x:row r="824">
      <x:c r="A824" s="9" t="str">
        <x:v>saturn-79</x:v>
      </x:c>
      <x:c r="B824" s="9" t="str">
        <x:v>tengai-makyo-daiyon-no-mokushiroku</x:v>
      </x:c>
      <x:c r="C824" s="9" t="str">
        <x:v>Sega Saturn</x:v>
      </x:c>
      <x:c r="D824" s="9" t="str">
        <x:v>Tengai Makyō: Daiyon no Mokushiroku</x:v>
      </x:c>
      <x:c r="E824" s="9" t="str">
        <x:v>Tengai Makyou: The Apocalypse IV</x:v>
      </x:c>
      <x:c r="F824" s="9" t="str">
        <x:v>Hudson Soft / Red Company</x:v>
      </x:c>
      <x:c r="G824" s="9" t="str">
        <x:v>Hudson Soft</x:v>
      </x:c>
      <x:c r="H824" s="9" t="n">
        <x:v>1997</x:v>
      </x:c>
      <x:c r="I824" s="9" t="str">
        <x:v>No</x:v>
      </x:c>
      <x:c r="J824" s="9" t="str">
        <x:v>Yes</x:v>
      </x:c>
      <x:c r="K824" s="9" t="str">
        <x:v>No</x:v>
      </x:c>
      <x:c r="L824" s="9" t="str">
        <x:v>No</x:v>
      </x:c>
      <x:c r="M824" s="9" t="str">
        <x:v>RPG</x:v>
      </x:c>
      <x:c r="N824" s="9" t="str">
        <x:v>Animated</x:v>
      </x:c>
      <x:c r="O824" s="9" t="n">
        <x:v>3</x:v>
      </x:c>
      <x:c r="P824" s="9" t="str">
        <x:v>Cutscenes only</x:v>
      </x:c>
      <x:c r="Q824" s="9" t="str">
        <x:v>Released</x:v>
      </x:c>
      <x:c r="R824" s="9" t="str">
        <x:v>Original production (Far East of Eden series)</x:v>
      </x:c>
      <x:c r="S824" s="9" t="str">
        <x:v>PSP (2006)</x:v>
      </x:c>
      <x:c r="T824" s="9" t="str">
        <x:v>Tomokazu Seki, Tomo Sakurai, Kappei Yamaguchi, Shūichirō Moriyama, Leo Morimoto, Taichirō Hirokawa</x:v>
      </x:c>
      <x:c r="U824" s="9" t="n">
        <x:v>2</x:v>
      </x:c>
      <x:c r="V824" s="9" t="str">
        <x:v>Yes</x:v>
      </x:c>
      <x:c r="W824" s="9" t="str">
        <x:v>Standard pad</x:v>
      </x:c>
      <x:c r="X824" s="9" t="str">
        <x:v>Med</x:v>
      </x:c>
      <x:c r="Y824" s="9" t="str">
        <x:v>Orchestral score by the Warsaw Philharmonic (verify)</x:v>
      </x:c>
      <x:c r="Z824" s="9" t="str">
        <x:v>40+ hr</x:v>
      </x:c>
      <x:c r="AA824" s="9" t="str">
        <x:v>Hudson's big-budget RPG set in a twisted 19th-century America, told through Tokyo Movie anime movies with a star voice cast.</x:v>
      </x:c>
      <x:c r="AB824" s="9" t="str">
        <x:v>None known</x:v>
      </x:c>
      <x:c r="AC824" s="9" t="str">
        <x:v>Anime movies by Kyokuichi Tokyo Movie (animation director Satoshi Hirayama, director Makoto Moriwaki); the Saturn let Hudson turn earlier games' programmed demo scenes into full movies (ja.wikipedia)</x:v>
      </x:c>
      <x:c r="AD824" s="9" t="str">
        <x:v>Moderate</x:v>
      </x:c>
      <x:c r="AE824" s="9" t="str">
        <x:v>Single ending (verify)</x:v>
      </x:c>
      <x:c r="AF824" s="9" t="str">
        <x:v>Two short films, "Mantō" and "Gone with the Flames", can be watched in the game's Las Vegas.</x:v>
      </x:c>
      <x:c r="AG824" s="9" t="str">
        <x:v>Japan only; PSP port 2006, Hudson the Best 2008</x:v>
      </x:c>
      <x:c r="AH824" s="9" t="str">
        <x:v>No</x:v>
      </x:c>
      <x:c r="AI824" s="9" t="str">
        <x:v>Import</x:v>
      </x:c>
      <x:c r="AJ824" s="9" t="str">
        <x:v>Original Japanese Saturn (region-locked: needs a JP console, a region switch or a modchip) or Saturn emulation (Mednafen/Beetle Saturn, SSF).</x:v>
      </x:c>
      <x:c r="AK824" s="9" t="str">
        <x:v>Japan only. Disc count from memory (verify). Added in the borderline review, Oct 2026.</x:v>
      </x:c>
      <x:c r="AL824" s="10" t="n">
        <x:v>4.66</x:v>
      </x:c>
      <x:c r="AM824" s="10" t="n">
        <x:v>13.53</x:v>
      </x:c>
      <x:c r="AN824" s="10" t="n">
        <x:v>23</x:v>
      </x:c>
      <x:c r="AO824" s="9" t="str">
        <x:v>2026-10-21</x:v>
      </x:c>
      <x:c r="AP824" s="11" t="str">
        <x:f>HYPERLINK("https://www.pricecharting.com/game/jp-sega-saturn/tengai-makyou","PriceCharting")</x:f>
        <x:v>PriceCharting</x:v>
      </x:c>
      <x:c r="AQ824" s="9"/>
      <x:c r="AR824" s="9"/>
      <x:c r="AS824" s="9"/>
      <x:c r="AT824" s="9"/>
      <x:c r="AU824" s="9"/>
      <x:c r="AV824" s="9"/>
      <x:c r="AW824" s="9"/>
      <x:c r="AX824" s="9"/>
      <x:c r="AY824" s="9"/>
      <x:c r="AZ824" s="9"/>
      <x:c r="BA824" s="11" t="str">
        <x:f>HYPERLINK("https://www.mobygames.com/search/?q=Tengai+Maky%C5%8D%3A+Daiyon+no+Mokushiroku","MobyGames")</x:f>
        <x:v>MobyGames</x:v>
      </x:c>
      <x:c r="BB824" s="9"/>
      <x:c r="BC824" s="9"/>
      <x:c r="BD824" s="9"/>
      <x:c r="BE824" s="11" t="str">
        <x:f>HYPERLINK("https://ja.wikipedia.org/wiki/天外魔境_第四の黙示録","Wikipedia")</x:f>
        <x:v>Wikipedia</x:v>
      </x:c>
      <x:c r="BF824" s="11" t="str">
        <x:f>HYPERLINK("https://backloggd.com/search/games/Tengai%20Maky%C5%8D%3A%20Daiyon%20no%20Mokushiroku/","Backloggd")</x:f>
        <x:v>Backloggd</x:v>
      </x:c>
      <x:c r="BG824" s="9"/>
      <x:c r="BH824" s="9"/>
      <x:c r="BI824" s="12" t="str">
        <x:v>No</x:v>
      </x:c>
      <x:c r="BJ824" s="12" t="str"/>
      <x:c r="BK824" s="12" t="str">
        <x:v>No</x:v>
      </x:c>
      <x:c r="BL824" s="12" t="str"/>
      <x:c r="BM824" s="12" t="str"/>
      <x:c r="BN824" s="12" t="str"/>
      <x:c r="BO824" s="12" t="str"/>
      <x:c r="BP824" s="12" t="str"/>
      <x:c r="BQ824" s="12" t="str"/>
    </x:row>
    <x:row r="825">
      <x:c r="A825" s="9" t="str">
        <x:v>saturn-80</x:v>
      </x:c>
      <x:c r="B825" s="9" t="str">
        <x:v>discworld-ii-missing-presumed</x:v>
      </x:c>
      <x:c r="C825" s="9" t="str">
        <x:v>Sega Saturn</x:v>
      </x:c>
      <x:c r="D825" s="9" t="str">
        <x:v>Discworld II: Missing Presumed...!?</x:v>
      </x:c>
      <x:c r="E825" s="9" t="str"/>
      <x:c r="F825" s="9" t="str">
        <x:v>Perfect Entertainment</x:v>
      </x:c>
      <x:c r="G825" s="9" t="str">
        <x:v>Sega (EU)</x:v>
      </x:c>
      <x:c r="H825" s="9" t="n">
        <x:v>1997</x:v>
      </x:c>
      <x:c r="I825" s="9" t="str">
        <x:v>No</x:v>
      </x:c>
      <x:c r="J825" s="9" t="str">
        <x:v>No</x:v>
      </x:c>
      <x:c r="K825" s="9" t="str">
        <x:v>Yes</x:v>
      </x:c>
      <x:c r="L825" s="9" t="str">
        <x:v>No</x:v>
      </x:c>
      <x:c r="M825" s="9" t="str">
        <x:v>Point-and-click adventure</x:v>
      </x:c>
      <x:c r="N825" s="9" t="str">
        <x:v>Animated</x:v>
      </x:c>
      <x:c r="O825" s="9" t="n">
        <x:v>3</x:v>
      </x:c>
      <x:c r="P825" s="9" t="str">
        <x:v>Cutscenes only</x:v>
      </x:c>
      <x:c r="Q825" s="9" t="str">
        <x:v>Released</x:v>
      </x:c>
      <x:c r="R825" s="9" t="str">
        <x:v>Terry Pratchett's Discworld novels</x:v>
      </x:c>
      <x:c r="S825" s="9" t="str">
        <x:v>PlayStation, DOS/Windows, Mac</x:v>
      </x:c>
      <x:c r="T825" s="9" t="str">
        <x:v>Eric Idle (Rincewind), Nigel Planer, Tony Robinson, Kate Robbins</x:v>
      </x:c>
      <x:c r="U825" s="9" t="n">
        <x:v>2</x:v>
      </x:c>
      <x:c r="V825" s="9" t="str">
        <x:v>Yes</x:v>
      </x:c>
      <x:c r="W825" s="9" t="str">
        <x:v>Standard pad</x:v>
      </x:c>
      <x:c r="X825" s="9" t="str">
        <x:v>Low–Med</x:v>
      </x:c>
      <x:c r="Y825" s="9" t="str"/>
      <x:c r="Z825" s="9" t="str">
        <x:v>10–15 hr</x:v>
      </x:c>
      <x:c r="AA825" s="9" t="str">
        <x:v>Eric Idle's Rincewind hunts for Death in a hand-animated Discworld cartoon, on a Europe-only Saturn disc.</x:v>
      </x:c>
      <x:c r="AB825" s="9" t="str">
        <x:v>None known</x:v>
      </x:c>
      <x:c r="AC825" s="9" t="str">
        <x:v>Hand-drawn animated cutscenes streamed from disc, as in the PlayStation and PC versions (verify Saturn video quality)</x:v>
      </x:c>
      <x:c r="AD825" s="9" t="str">
        <x:v>Hard; cryptic puzzles</x:v>
      </x:c>
      <x:c r="AE825" s="9" t="str">
        <x:v>Single ending</x:v>
      </x:c>
      <x:c r="AF825" s="9" t="str">
        <x:v>Wikipedia: the Saturn port was published by Sega and exclusive to Europe.</x:v>
      </x:c>
      <x:c r="AG825" s="9" t="str">
        <x:v>PAL only (Sega, 4 September 1997)</x:v>
      </x:c>
      <x:c r="AH825" s="9" t="str">
        <x:v>No</x:v>
      </x:c>
      <x:c r="AI825" s="9" t="str">
        <x:v>Import</x:v>
      </x:c>
      <x:c r="AJ825" s="9" t="str">
        <x:v>PAL Saturn (or a region-switched console) or Saturn emulation; the PC version runs in ScummVM.</x:v>
      </x:c>
      <x:c r="AK825" s="9" t="str">
        <x:v>PlayStation (ps1-30) and PC (pc-169) versions are in the index; added for consistency. Saturn disc count from memory (verify). Added in the borderline review, Oct 2026.</x:v>
      </x:c>
      <x:c r="AL825" s="10" t="n">
        <x:v>55.33</x:v>
      </x:c>
      <x:c r="AM825" s="10" t="n">
        <x:v>131.06</x:v>
      </x:c>
      <x:c r="AN825" s="10" t="n">
        <x:v>223</x:v>
      </x:c>
      <x:c r="AO825" s="9" t="str">
        <x:v>2026-10-21</x:v>
      </x:c>
      <x:c r="AP825" s="11" t="str">
        <x:f>HYPERLINK("https://www.pricecharting.com/game/pal-sega-saturn/discworld-ii","PriceCharting")</x:f>
        <x:v>PriceCharting</x:v>
      </x:c>
      <x:c r="AQ825" s="9"/>
      <x:c r="AR825" s="9"/>
      <x:c r="AS825" s="9"/>
      <x:c r="AT825" s="9"/>
      <x:c r="AU825" s="9"/>
      <x:c r="AV825" s="9"/>
      <x:c r="AW825" s="9"/>
      <x:c r="AX825" s="9"/>
      <x:c r="AY825" s="9"/>
      <x:c r="AZ825" s="9"/>
      <x:c r="BA825" s="11" t="str">
        <x:f>HYPERLINK("https://www.mobygames.com/search/?q=Discworld+II%3A+Missing+Presumed...%21%3F","MobyGames")</x:f>
        <x:v>MobyGames</x:v>
      </x:c>
      <x:c r="BB825" s="9" t="str">
        <x:v>82%</x:v>
      </x:c>
      <x:c r="BC825" s="9" t="str">
        <x:v>average of 1 review on Wikipedia (Sega Saturn Magazine)</x:v>
      </x:c>
      <x:c r="BD825" s="9" t="str">
        <x:f>HYPERLINK("https://en.wikipedia.org/wiki/Discworld_II%3A_Missing_Presumed...%21%3F","Source")</x:f>
        <x:v>Source</x:v>
      </x:c>
      <x:c r="BE825" s="11" t="str">
        <x:f>HYPERLINK("https://en.wikipedia.org/wiki/Discworld_II:_Missing_Presumed...!%3F","Wikipedia")</x:f>
        <x:v>Wikipedia</x:v>
      </x:c>
      <x:c r="BF825" s="11" t="str">
        <x:f>HYPERLINK("https://backloggd.com/search/games/Discworld%20II%3A%20Missing%20Presumed...%21%3F/","Backloggd")</x:f>
        <x:v>Backloggd</x:v>
      </x:c>
      <x:c r="BG825" s="9"/>
      <x:c r="BH825" s="9"/>
      <x:c r="BI825" s="12" t="str">
        <x:v>No</x:v>
      </x:c>
      <x:c r="BJ825" s="12" t="str"/>
      <x:c r="BK825" s="12" t="str">
        <x:v>No</x:v>
      </x:c>
      <x:c r="BL825" s="12" t="str"/>
      <x:c r="BM825" s="12" t="str"/>
      <x:c r="BN825" s="12" t="str"/>
      <x:c r="BO825" s="12" t="str"/>
      <x:c r="BP825" s="12" t="str"/>
      <x:c r="BQ825" s="12" t="str"/>
    </x:row>
    <x:row r="826">
      <x:c r="A826" s="9" t="str">
        <x:v>pc-179</x:v>
      </x:c>
      <x:c r="B826" s="9" t="str">
        <x:v>emperor-battle-for-dune</x:v>
      </x:c>
      <x:c r="C826" s="9" t="str">
        <x:v>PC</x:v>
      </x:c>
      <x:c r="D826" s="9" t="str">
        <x:v>Emperor: Battle for Dune</x:v>
      </x:c>
      <x:c r="E826" s="9" t="str"/>
      <x:c r="F826" s="9" t="str">
        <x:v>Intelligent Games / Westwood Studios</x:v>
      </x:c>
      <x:c r="G826" s="9" t="str">
        <x:v>EA Games</x:v>
      </x:c>
      <x:c r="H826" s="9" t="n">
        <x:v>2001</x:v>
      </x:c>
      <x:c r="I826" s="9" t="str">
        <x:v>Yes</x:v>
      </x:c>
      <x:c r="J826" s="9" t="str">
        <x:v>No</x:v>
      </x:c>
      <x:c r="K826" s="9" t="str">
        <x:v>Yes</x:v>
      </x:c>
      <x:c r="L826" s="9" t="str">
        <x:v>No</x:v>
      </x:c>
      <x:c r="M826" s="9" t="str">
        <x:v>Real-time strategy</x:v>
      </x:c>
      <x:c r="N826" s="9" t="str">
        <x:v>Live-action + CG</x:v>
      </x:c>
      <x:c r="O826" s="9" t="n">
        <x:v>3</x:v>
      </x:c>
      <x:c r="P826" s="9" t="str">
        <x:v>Cutscenes only</x:v>
      </x:c>
      <x:c r="Q826" s="9" t="str">
        <x:v>Released</x:v>
      </x:c>
      <x:c r="R826" s="9" t="str">
        <x:v>PC original; Frank Herbert's Dune universe (sequel to Dune 2000)</x:v>
      </x:c>
      <x:c r="S826" s="9" t="str">
        <x:v>None</x:v>
      </x:c>
      <x:c r="T826" s="9" t="str">
        <x:v>Michael Dorn (Duke Achillus Atreides); Mike McShane (Baron Rakan Harkonnen); Vincent Schiavelli (Mentat Yanich Kobal); Musetta Vander (Lady Elara); Minae Noji (Roma Atani); Nicholas Worth (Mentat Kolinar Koltrass); Michael Bailey Smith (Burseg)</x:v>
      </x:c>
      <x:c r="U826" s="9" t="n">
        <x:v>4</x:v>
      </x:c>
      <x:c r="V826" s="9" t="str">
        <x:v>Yes</x:v>
      </x:c>
      <x:c r="W826" s="9" t="str">
        <x:v>Pentium II 400, 64 MB RAM, 4x CD-ROM, 16 MB 3D card; Win95/98/ME/2000</x:v>
      </x:c>
      <x:c r="X826" s="9" t="str">
        <x:v>Low</x:v>
      </x:c>
      <x:c r="Y826" s="9" t="str"/>
      <x:c r="Z826" s="9" t="str">
        <x:v>15–25 hr (three house campaigns)</x:v>
      </x:c>
      <x:c r="AA826" s="9" t="str">
        <x:v>Michael Dorn as a Duke Atreides and Vincent Schiavelli as a Mentat: Westwood's last Dune game, with live-action briefings for every house.</x:v>
      </x:c>
      <x:c r="AB826" s="9" t="str">
        <x:v>None known</x:v>
      </x:c>
      <x:c r="AC826" s="9" t="str">
        <x:v>Live-action briefings composited on CG sets, about 640x480 (verify); branching between missions via the territory map</x:v>
      </x:c>
      <x:c r="AD826" s="9" t="str">
        <x:v>Moderate; later Harkonnen and Ordos missions are hard</x:v>
      </x:c>
      <x:c r="AE826" s="9" t="str">
        <x:v>Three house endings (Atreides, Harkonnen, Ordos)</x:v>
      </x:c>
      <x:c r="AF826" s="9" t="str">
        <x:v>Westwood's first 3D-engine RTS, built with Intelligent Games; its sub-house system let players ally with Fremen, Sardaukar, Ix, Tleilaxu or the Guild.</x:v>
      </x:c>
      <x:c r="AG826" s="9" t="str">
        <x:v>Retail 4-CD box (one disc per house plus install, verify); Polish collector's edition</x:v>
      </x:c>
      <x:c r="AH826" s="9" t="str">
        <x:v>No</x:v>
      </x:c>
      <x:c r="AI826" s="9" t="str">
        <x:v>Easy</x:v>
      </x:c>
      <x:c r="AJ826" s="9" t="str">
        <x:v>Original discs on Windows (community patches for modern systems); no store release</x:v>
      </x:c>
      <x:c r="AK826" s="9" t="str">
        <x:v>Release NA June 12, 2001; EU June 15, 2001. Metacritic 79. Disc count from memory (verify). PriceCharting not fetched: the shared WebFetch budget ran out (re-run price pull).</x:v>
      </x:c>
      <x:c r="AL826" s="10"/>
      <x:c r="AM826" s="10"/>
      <x:c r="AN826" s="10"/>
      <x:c r="AO826" s="9"/>
      <x:c r="AP826" s="11" t="str">
        <x:f>HYPERLINK("https://www.pricecharting.com/search-products?q=Emperor%3A+Battle+for+Dune+pc+games&amp;type=prices","PriceCharting")</x:f>
        <x:v>PriceCharting</x:v>
      </x:c>
      <x:c r="AQ826" s="9"/>
      <x:c r="AR826" s="9"/>
      <x:c r="AS826" s="9"/>
      <x:c r="AT826" s="9"/>
      <x:c r="AU826" s="9" t="str">
        <x:v>No market</x:v>
      </x:c>
      <x:c r="AV826" s="9" t="str">
        <x:v>Not sold on Steam or GOG (checked 2026-10-25) and no PriceCharting listing.</x:v>
      </x:c>
      <x:c r="AW826" s="9"/>
      <x:c r="AX826" s="9"/>
      <x:c r="AY826" s="9" t="str">
        <x:v>79%</x:v>
      </x:c>
      <x:c r="AZ826" s="9" t="str">
        <x:v>3.5</x:v>
      </x:c>
      <x:c r="BA826" s="11" t="str">
        <x:f>HYPERLINK("https://www.mobygames.com/game/3777/emperor-battle-for-dune/","MobyGames")</x:f>
        <x:v>MobyGames</x:v>
      </x:c>
      <x:c r="BB826" s="9" t="str"/>
      <x:c r="BC826" s="9" t="str"/>
      <x:c r="BD826" s="9"/>
      <x:c r="BE826" s="11" t="str">
        <x:f>HYPERLINK("https://en.wikipedia.org/wiki/Emperor:_Battle_for_Dune","Wikipedia")</x:f>
        <x:v>Wikipedia</x:v>
      </x:c>
      <x:c r="BF826" s="11" t="str">
        <x:f>HYPERLINK("https://backloggd.com/search/games/Emperor%3A%20Battle%20for%20Dune/","Backloggd")</x:f>
        <x:v>Backloggd</x:v>
      </x:c>
      <x:c r="BG826" s="9"/>
      <x:c r="BH826" s="9"/>
      <x:c r="BI826" s="12" t="str">
        <x:v>No</x:v>
      </x:c>
      <x:c r="BJ826" s="12" t="str"/>
      <x:c r="BK826" s="12" t="str">
        <x:v>No</x:v>
      </x:c>
      <x:c r="BL826" s="12" t="str"/>
      <x:c r="BM826" s="12" t="str"/>
      <x:c r="BN826" s="12" t="str"/>
      <x:c r="BO826" s="12" t="str"/>
      <x:c r="BP826" s="12" t="str"/>
      <x:c r="BQ826" s="12" t="str"/>
    </x:row>
    <x:row r="827">
      <x:c r="A827" s="9" t="str">
        <x:v>pc-180</x:v>
      </x:c>
      <x:c r="B827" s="9" t="str">
        <x:v>command-and-conquer-yuris-revenge</x:v>
      </x:c>
      <x:c r="C827" s="9" t="str">
        <x:v>PC</x:v>
      </x:c>
      <x:c r="D827" s="9" t="str">
        <x:v>Command &amp; Conquer: Yuri's Revenge</x:v>
      </x:c>
      <x:c r="E827" s="9" t="str">
        <x:v>Command &amp; Conquer: Red Alert 2 – Yuri's Revenge</x:v>
      </x:c>
      <x:c r="F827" s="9" t="str">
        <x:v>Westwood Pacific</x:v>
      </x:c>
      <x:c r="G827" s="9" t="str">
        <x:v>EA Games</x:v>
      </x:c>
      <x:c r="H827" s="9" t="n">
        <x:v>2001</x:v>
      </x:c>
      <x:c r="I827" s="9" t="str">
        <x:v>Yes</x:v>
      </x:c>
      <x:c r="J827" s="9" t="str">
        <x:v>No</x:v>
      </x:c>
      <x:c r="K827" s="9" t="str">
        <x:v>Yes</x:v>
      </x:c>
      <x:c r="L827" s="9" t="str">
        <x:v>No</x:v>
      </x:c>
      <x:c r="M827" s="9" t="str">
        <x:v>Real-time strategy (expansion)</x:v>
      </x:c>
      <x:c r="N827" s="9" t="str">
        <x:v>Live-action + CG</x:v>
      </x:c>
      <x:c r="O827" s="9" t="n">
        <x:v>3</x:v>
      </x:c>
      <x:c r="P827" s="9" t="str">
        <x:v>Cutscenes only</x:v>
      </x:c>
      <x:c r="Q827" s="9" t="str">
        <x:v>Released</x:v>
      </x:c>
      <x:c r="R827" s="9" t="str">
        <x:v>Expansion pack for Command &amp; Conquer: Red Alert 2 (2000)</x:v>
      </x:c>
      <x:c r="S827" s="9" t="str">
        <x:v>None (PC only); bundled in Red Alert 2 collections</x:v>
      </x:c>
      <x:c r="T827" s="9" t="str">
        <x:v>Udo Kier (Yuri); Ray Wise (President Dugan); Barry Corbin (General Carville); Kari Wuhrer (Tanya); Athena Massey (Lt. Eva)</x:v>
      </x:c>
      <x:c r="U827" s="9" t="n">
        <x:v>1</x:v>
      </x:c>
      <x:c r="V827" s="9" t="str">
        <x:v>Yes</x:v>
      </x:c>
      <x:c r="W827" s="9" t="str">
        <x:v>Requires Red Alert 2; Pentium II 266, 64 MB RAM, 4x CD-ROM; Win95/98/ME/2000</x:v>
      </x:c>
      <x:c r="X827" s="9" t="str">
        <x:v>Low</x:v>
      </x:c>
      <x:c r="Y827" s="9" t="str"/>
      <x:c r="Z827" s="9" t="str">
        <x:v>8–12 hr</x:v>
      </x:c>
      <x:c r="AA827" s="9" t="str">
        <x:v>Udo Kier's Yuri takes over the world by mind control, in about an hour of gleefully hammy live-action FMV with the full Red Alert 2 cast back.</x:v>
      </x:c>
      <x:c r="AB827" s="9" t="str">
        <x:v>None known</x:v>
      </x:c>
      <x:c r="AC827" s="9" t="str">
        <x:v>About an hour of live-action FMV (cast filmed on green screen, CG sets), 640x400 (verify)</x:v>
      </x:c>
      <x:c r="AD827" s="9" t="str">
        <x:v>Moderate; Yuri's mind control units punish careless play</x:v>
      </x:c>
      <x:c r="AE827" s="9" t="str">
        <x:v>Allied and Soviet campaigns, each with its own ending</x:v>
      </x:c>
      <x:c r="AF827" s="9" t="str">
        <x:v>Release slipped from September 2001 after the 9/11 attacks; a Los Angeles mission's celebrity heroes parodied Schwarzenegger, Stallone and Eastwood until a patch renamed them.</x:v>
      </x:c>
      <x:c r="AG827" s="9" t="str">
        <x:v>Standalone expansion box; Red Alert 2 + Yuri's Revenge bundles; The First Decade (2006); Ultimate Collection</x:v>
      </x:c>
      <x:c r="AH827" s="9" t="str">
        <x:v>Yes (C&amp;C The Ultimate Collection on EA app/Steam)</x:v>
      </x:c>
      <x:c r="AI827" s="9" t="str">
        <x:v>Easy</x:v>
      </x:c>
      <x:c r="AJ827" s="9" t="str">
        <x:v>C&amp;C The Ultimate Collection (EA app, Steam); CnCNet for online play</x:v>
      </x:c>
      <x:c r="AK827" s="9" t="str">
        <x:v>Release NA Oct 9, 2001; EU Oct 19, 2001. GameRankings 85% (30), Metacritic 86. PC Gamer US best expansion of 2001 (tied). PriceCharting not fetched: the shared WebFetch budget ran out (re-run price pull).</x:v>
      </x:c>
      <x:c r="AL827" s="10" t="n">
        <x:v>11.36</x:v>
      </x:c>
      <x:c r="AM827" s="10" t="n">
        <x:v>61.12</x:v>
      </x:c>
      <x:c r="AN827" s="10" t="n">
        <x:v>175</x:v>
      </x:c>
      <x:c r="AO827" s="9" t="str">
        <x:v>2026-10-24</x:v>
      </x:c>
      <x:c r="AP827" s="11" t="str">
        <x:f>HYPERLINK("https://www.pricecharting.com/game/pc-games/command-&amp;amp;-conquer-yuri%27s-revenge","PriceCharting")</x:f>
        <x:v>PriceCharting</x:v>
      </x:c>
      <x:c r="AQ827" s="9"/>
      <x:c r="AR827" s="9"/>
      <x:c r="AS827" s="9"/>
      <x:c r="AT827" s="9"/>
      <x:c r="AU827" s="9"/>
      <x:c r="AV827" s="9"/>
      <x:c r="AW827" s="9"/>
      <x:c r="AX827" s="9"/>
      <x:c r="AY827" s="9" t="str">
        <x:v>83%</x:v>
      </x:c>
      <x:c r="AZ827" s="9" t="str">
        <x:v>3.8</x:v>
      </x:c>
      <x:c r="BA827" s="11" t="str">
        <x:f>HYPERLINK("https://www.mobygames.com/game/5120/command-conquer-yuris-revenge/","MobyGames")</x:f>
        <x:v>MobyGames</x:v>
      </x:c>
      <x:c r="BB827" s="9" t="str"/>
      <x:c r="BC827" s="9" t="str"/>
      <x:c r="BD827" s="9"/>
      <x:c r="BE827" s="11" t="str">
        <x:f>HYPERLINK("https://en.wikipedia.org/wiki/Command_%26_Conquer:_Yuri%27s_Revenge","Wikipedia")</x:f>
        <x:v>Wikipedia</x:v>
      </x:c>
      <x:c r="BF827" s="11" t="str">
        <x:f>HYPERLINK("https://backloggd.com/search/games/Command%20%26%20Conquer%3A%20Yuri%27s%20Revenge/","Backloggd")</x:f>
        <x:v>Backloggd</x:v>
      </x:c>
      <x:c r="BG827" s="9"/>
      <x:c r="BH827" s="9"/>
      <x:c r="BI827" s="12" t="str">
        <x:v>No</x:v>
      </x:c>
      <x:c r="BJ827" s="12" t="str"/>
      <x:c r="BK827" s="12" t="str">
        <x:v>No</x:v>
      </x:c>
      <x:c r="BL827" s="12" t="str"/>
      <x:c r="BM827" s="12" t="str"/>
      <x:c r="BN827" s="12" t="str"/>
      <x:c r="BO827" s="12" t="str"/>
      <x:c r="BP827" s="12" t="str"/>
      <x:c r="BQ827" s="12" t="str"/>
    </x:row>
    <x:row r="828">
      <x:c r="A828" s="9" t="str">
        <x:v>pc-181</x:v>
      </x:c>
      <x:c r="B828" s="9" t="str">
        <x:v>myst-iii-exile</x:v>
      </x:c>
      <x:c r="C828" s="9" t="str">
        <x:v>PC</x:v>
      </x:c>
      <x:c r="D828" s="9" t="str">
        <x:v>Myst III: Exile</x:v>
      </x:c>
      <x:c r="E828" s="9" t="str"/>
      <x:c r="F828" s="9" t="str">
        <x:v>Presto Studios</x:v>
      </x:c>
      <x:c r="G828" s="9" t="str">
        <x:v>Ubi Soft (physical), Cyan Worlds (digital)</x:v>
      </x:c>
      <x:c r="H828" s="9" t="n">
        <x:v>2001</x:v>
      </x:c>
      <x:c r="I828" s="9" t="str">
        <x:v>Yes</x:v>
      </x:c>
      <x:c r="J828" s="9" t="str">
        <x:v>No</x:v>
      </x:c>
      <x:c r="K828" s="9" t="str">
        <x:v>Yes</x:v>
      </x:c>
      <x:c r="L828" s="9" t="str">
        <x:v>No</x:v>
      </x:c>
      <x:c r="M828" s="9" t="str">
        <x:v>First-person puzzle adventure</x:v>
      </x:c>
      <x:c r="N828" s="9" t="str">
        <x:v>Live-action + pre-rendered CG</x:v>
      </x:c>
      <x:c r="O828" s="9" t="n">
        <x:v>5</x:v>
      </x:c>
      <x:c r="P828" s="9" t="str">
        <x:v>FMV adventure</x:v>
      </x:c>
      <x:c r="Q828" s="9" t="str">
        <x:v>Released</x:v>
      </x:c>
      <x:c r="R828" s="9" t="str">
        <x:v>PC/Mac original; third Myst game</x:v>
      </x:c>
      <x:c r="S828" s="9" t="str">
        <x:v>Mac, PlayStation 2, Xbox (2002)</x:v>
      </x:c>
      <x:c r="T828" s="9" t="str">
        <x:v>Brad Dourif (Saavedro); Rand Miller (Atrus); Maria Galante (Catherine); Audrey Uhler (Yeesha cameo)</x:v>
      </x:c>
      <x:c r="U828" s="9" t="n">
        <x:v>4</x:v>
      </x:c>
      <x:c r="V828" s="9" t="str">
        <x:v>Yes</x:v>
      </x:c>
      <x:c r="W828" s="9" t="str">
        <x:v>Pentium II 233, 64 MB RAM, 12x CD-ROM, 8 MB video; Win95/98/ME/2000; also Mac OS</x:v>
      </x:c>
      <x:c r="X828" s="9" t="str">
        <x:v>Low</x:v>
      </x:c>
      <x:c r="Y828" s="9" t="str"/>
      <x:c r="Z828" s="9" t="str">
        <x:v>10–15 hr</x:v>
      </x:c>
      <x:c r="AA828" s="9" t="str">
        <x:v>Brad Dourif's unhinged Saavedro, filmed on blue screen and keyed into 360-degree panoramas, is the most intense live-action performance in the Myst series.</x:v>
      </x:c>
      <x:c r="AB828" s="9" t="str">
        <x:v>None known</x:v>
      </x:c>
      <x:c r="AC828" s="9" t="str">
        <x:v>Live actors chroma-keyed into pre-rendered 360-degree nodes; standard-definition video Presto later called softer than intended</x:v>
      </x:c>
      <x:c r="AD828" s="9" t="str">
        <x:v>Hard logic puzzles, fairer than Riven</x:v>
      </x:c>
      <x:c r="AE828" s="9" t="str">
        <x:v>Several endings depending on how you deal with Saavedro, including bad ones</x:v>
      </x:c>
      <x:c r="AF828" s="9" t="str">
        <x:v>Brad Dourif took the role as a fan of the series; the shoot took seven days after four months of preparation. It was the best-selling US computer game in its first week.</x:v>
      </x:c>
      <x:c r="AG828" s="9" t="str">
        <x:v>4-CD Windows/Mac release; single-DVD edition; Collector's Edition (2001); Myst Trilogy and Myst Masterpiece bundles</x:v>
      </x:c>
      <x:c r="AH828" s="9" t="str">
        <x:v>Yes (Steam, GOG)</x:v>
      </x:c>
      <x:c r="AI828" s="9" t="str">
        <x:v>Easy</x:v>
      </x:c>
      <x:c r="AJ828" s="9" t="str">
        <x:v>Steam and GOG (Windows); PS2/Xbox discs</x:v>
      </x:c>
      <x:c r="AK828" s="9" t="str">
        <x:v>Release NA May 8, 2001; EU Sept 7, 2001. Metacritic PC 83; GameRankings 77%. About 1.5 million sold by 2010.</x:v>
      </x:c>
      <x:c r="AL828" s="10" t="n">
        <x:v>4.3</x:v>
      </x:c>
      <x:c r="AM828" s="10" t="n">
        <x:v>13.72</x:v>
      </x:c>
      <x:c r="AN828" s="10" t="n">
        <x:v>14.91</x:v>
      </x:c>
      <x:c r="AO828" s="9" t="str">
        <x:v>2026-10-24</x:v>
      </x:c>
      <x:c r="AP828" s="11" t="str">
        <x:f>HYPERLINK("https://www.pricecharting.com/game/pc-games/myst-3-exile","PriceCharting")</x:f>
        <x:v>PriceCharting</x:v>
      </x:c>
      <x:c r="AQ828" s="9" t="n">
        <x:v>5.99</x:v>
      </x:c>
      <x:c r="AR828" s="11" t="str">
        <x:v>GOG</x:v>
      </x:c>
      <x:c r="AS828" s="9" t="str">
        <x:f>HYPERLINK("https://www.gog.com/en/game/myst_3_exile","Store")</x:f>
        <x:v>Store</x:v>
      </x:c>
      <x:c r="AT828" s="9" t="str">
        <x:v>2026-10-24</x:v>
      </x:c>
      <x:c r="AU828" s="9"/>
      <x:c r="AV828" s="9"/>
      <x:c r="AW828" s="9"/>
      <x:c r="AX828" s="9"/>
      <x:c r="AY828" s="9" t="str">
        <x:v>77%</x:v>
      </x:c>
      <x:c r="AZ828" s="9" t="str">
        <x:v>3.8</x:v>
      </x:c>
      <x:c r="BA828" s="11" t="str">
        <x:f>HYPERLINK("https://www.mobygames.com/game/3520/myst-iii-exile/","MobyGames")</x:f>
        <x:v>MobyGames</x:v>
      </x:c>
      <x:c r="BB828" s="9" t="str"/>
      <x:c r="BC828" s="9" t="str"/>
      <x:c r="BD828" s="9"/>
      <x:c r="BE828" s="11" t="str">
        <x:f>HYPERLINK("https://en.wikipedia.org/wiki/Myst_III:_Exile","Wikipedia")</x:f>
        <x:v>Wikipedia</x:v>
      </x:c>
      <x:c r="BF828" s="11" t="str">
        <x:f>HYPERLINK("https://backloggd.com/search/games/Myst%20III%3A%20Exile/","Backloggd")</x:f>
        <x:v>Backloggd</x:v>
      </x:c>
      <x:c r="BG828" s="9"/>
      <x:c r="BH828" s="9"/>
      <x:c r="BI828" s="12" t="str">
        <x:v>No</x:v>
      </x:c>
      <x:c r="BJ828" s="12" t="str"/>
      <x:c r="BK828" s="12" t="str">
        <x:v>No</x:v>
      </x:c>
      <x:c r="BL828" s="12" t="str"/>
      <x:c r="BM828" s="12" t="str"/>
      <x:c r="BN828" s="12" t="str"/>
      <x:c r="BO828" s="12" t="str"/>
      <x:c r="BP828" s="12" t="str"/>
      <x:c r="BQ828" s="12" t="str"/>
    </x:row>
    <x:row r="829">
      <x:c r="A829" s="9" t="str">
        <x:v>pc-182</x:v>
      </x:c>
      <x:c r="B829" s="9" t="str">
        <x:v>myst-iv-revelation</x:v>
      </x:c>
      <x:c r="C829" s="9" t="str">
        <x:v>PC</x:v>
      </x:c>
      <x:c r="D829" s="9" t="str">
        <x:v>Myst IV: Revelation</x:v>
      </x:c>
      <x:c r="E829" s="9" t="str"/>
      <x:c r="F829" s="9" t="str">
        <x:v>Ubisoft Montreal</x:v>
      </x:c>
      <x:c r="G829" s="9" t="str">
        <x:v>Ubisoft (physical), Cyan Worlds (digital)</x:v>
      </x:c>
      <x:c r="H829" s="9" t="n">
        <x:v>2004</x:v>
      </x:c>
      <x:c r="I829" s="9" t="str">
        <x:v>Yes</x:v>
      </x:c>
      <x:c r="J829" s="9" t="str">
        <x:v>No</x:v>
      </x:c>
      <x:c r="K829" s="9" t="str">
        <x:v>Yes</x:v>
      </x:c>
      <x:c r="L829" s="9" t="str">
        <x:v>No</x:v>
      </x:c>
      <x:c r="M829" s="9" t="str">
        <x:v>First-person puzzle adventure</x:v>
      </x:c>
      <x:c r="N829" s="9" t="str">
        <x:v>Live-action + pre-rendered CG</x:v>
      </x:c>
      <x:c r="O829" s="9" t="n">
        <x:v>5</x:v>
      </x:c>
      <x:c r="P829" s="9" t="str">
        <x:v>FMV adventure</x:v>
      </x:c>
      <x:c r="Q829" s="9" t="str">
        <x:v>Released</x:v>
      </x:c>
      <x:c r="R829" s="9" t="str">
        <x:v>PC/Mac original; fourth Myst game</x:v>
      </x:c>
      <x:c r="S829" s="9" t="str">
        <x:v>Mac, Xbox (2005)</x:v>
      </x:c>
      <x:c r="T829" s="9" t="str">
        <x:v>Rand Miller (Atrus); Brian Wrench (Sirrus); Guy Sprung (Achenar); Juliette Gosselin (Yeesha); Jennifer Podemski (Anya); Alison Sealy-Smith (Zanika); Kira Clavell (Moiri, Raeane); Peter Gabriel (spirit guide)</x:v>
      </x:c>
      <x:c r="U829" s="9" t="n">
        <x:v>2</x:v>
      </x:c>
      <x:c r="V829" s="9" t="str">
        <x:v>Yes</x:v>
      </x:c>
      <x:c r="W829" s="9" t="str">
        <x:v>Pentium III 700, 128 MB RAM, DVD-ROM, 32 MB 3D card, 7 GB install; Win98/ME/2000/XP; also Mac OS X</x:v>
      </x:c>
      <x:c r="X829" s="9" t="str">
        <x:v>Low</x:v>
      </x:c>
      <x:c r="Y829" s="9" t="str"/>
      <x:c r="Z829" s="9" t="str">
        <x:v>15–20 hr</x:v>
      </x:c>
      <x:c r="AA829" s="9" t="str">
        <x:v>Atrus's sons Sirrus and Achenar are back, played by new actors in over 70 minutes of live-action video you can look around in.</x:v>
      </x:c>
      <x:c r="AB829" s="9" t="str">
        <x:v>None known</x:v>
      </x:c>
      <x:c r="AC829" s="9" t="str">
        <x:v>Over 70 minutes of live-action video composited into 360-degree pre-rendered nodes, with free look during playback</x:v>
      </x:c>
      <x:c r="AD829" s="9" t="str">
        <x:v>Hard; criticized for hunting small hotspots</x:v>
      </x:c>
      <x:c r="AE829" s="9" t="str">
        <x:v>Multiple endings depending on the final choice (verify count)</x:v>
      </x:c>
      <x:c r="AF829" s="9" t="str">
        <x:v>The first Myst on DVD-ROM; a CD version would have needed twelve discs. Peter Gabriel voices the spirit guide and contributed the song 'Curtains'.</x:v>
      </x:c>
      <x:c r="AG829" s="9" t="str">
        <x:v>2-DVD Windows/Mac retail; Limited Edition; Myst Masterpiece/complete collections</x:v>
      </x:c>
      <x:c r="AH829" s="9" t="str">
        <x:v>Yes (Steam, GOG)</x:v>
      </x:c>
      <x:c r="AI829" s="9" t="str">
        <x:v>Easy</x:v>
      </x:c>
      <x:c r="AJ829" s="9" t="str">
        <x:v>Steam and GOG (Windows); Xbox disc</x:v>
      </x:c>
      <x:c r="AK829" s="9" t="str">
        <x:v>Release NA Sept 28, 2004. Metacritic PC 82. Last Myst with pre-rendered backgrounds and FMV. Shipped on DVD-ROM only; a CD-ROM version would have needed twelve discs (Wikipedia). PriceCharting not fetched: the shared WebFetch budget ran out (re-run price pull).</x:v>
      </x:c>
      <x:c r="AL829" s="10" t="n">
        <x:v>4.67</x:v>
      </x:c>
      <x:c r="AM829" s="10" t="n">
        <x:v>9.96</x:v>
      </x:c>
      <x:c r="AN829" s="10" t="n">
        <x:v>12.54</x:v>
      </x:c>
      <x:c r="AO829" s="9" t="str">
        <x:v>2026-10-24</x:v>
      </x:c>
      <x:c r="AP829" s="11" t="str">
        <x:f>HYPERLINK("https://www.pricecharting.com/game/pc-games/myst-iv-revelation","PriceCharting")</x:f>
        <x:v>PriceCharting</x:v>
      </x:c>
      <x:c r="AQ829" s="9" t="n">
        <x:v>5.99</x:v>
      </x:c>
      <x:c r="AR829" s="11" t="str">
        <x:v>GOG</x:v>
      </x:c>
      <x:c r="AS829" s="9" t="str">
        <x:f>HYPERLINK("https://www.gog.com/en/game/myst_4","Store")</x:f>
        <x:v>Store</x:v>
      </x:c>
      <x:c r="AT829" s="9" t="str">
        <x:v>2026-10-24</x:v>
      </x:c>
      <x:c r="AU829" s="9"/>
      <x:c r="AV829" s="9"/>
      <x:c r="AW829" s="9"/>
      <x:c r="AX829" s="9"/>
      <x:c r="AY829" s="9" t="str">
        <x:v>82%</x:v>
      </x:c>
      <x:c r="AZ829" s="9" t="str">
        <x:v>3.9</x:v>
      </x:c>
      <x:c r="BA829" s="11" t="str">
        <x:f>HYPERLINK("https://www.mobygames.com/game/15044/myst-iv-revelation/","MobyGames")</x:f>
        <x:v>MobyGames</x:v>
      </x:c>
      <x:c r="BB829" s="9" t="str"/>
      <x:c r="BC829" s="9" t="str"/>
      <x:c r="BD829" s="9"/>
      <x:c r="BE829" s="11" t="str">
        <x:f>HYPERLINK("https://en.wikipedia.org/wiki/Myst_IV:_Revelation","Wikipedia")</x:f>
        <x:v>Wikipedia</x:v>
      </x:c>
      <x:c r="BF829" s="11" t="str">
        <x:f>HYPERLINK("https://backloggd.com/search/games/Myst%20IV%3A%20Revelation/","Backloggd")</x:f>
        <x:v>Backloggd</x:v>
      </x:c>
      <x:c r="BG829" s="9"/>
      <x:c r="BH829" s="9"/>
      <x:c r="BI829" s="12" t="str">
        <x:v>No</x:v>
      </x:c>
      <x:c r="BJ829" s="12" t="str"/>
      <x:c r="BK829" s="12" t="str">
        <x:v>No</x:v>
      </x:c>
      <x:c r="BL829" s="12" t="str"/>
      <x:c r="BM829" s="12" t="str"/>
      <x:c r="BN829" s="12" t="str"/>
      <x:c r="BO829" s="12" t="str"/>
      <x:c r="BP829" s="12" t="str"/>
      <x:c r="BQ829" s="12" t="str"/>
    </x:row>
    <x:row r="830">
      <x:c r="A830" s="9" t="str">
        <x:v>pc-183</x:v>
      </x:c>
      <x:c r="B830" s="9" t="str">
        <x:v>command-and-conquer-3-tiberium-wars</x:v>
      </x:c>
      <x:c r="C830" s="9" t="str">
        <x:v>PC</x:v>
      </x:c>
      <x:c r="D830" s="9" t="str">
        <x:v>Command &amp; Conquer 3: Tiberium Wars</x:v>
      </x:c>
      <x:c r="E830" s="9" t="str"/>
      <x:c r="F830" s="9" t="str">
        <x:v>EA Los Angeles</x:v>
      </x:c>
      <x:c r="G830" s="9" t="str">
        <x:v>Electronic Arts</x:v>
      </x:c>
      <x:c r="H830" s="9" t="n">
        <x:v>2007</x:v>
      </x:c>
      <x:c r="I830" s="9" t="str">
        <x:v>Yes</x:v>
      </x:c>
      <x:c r="J830" s="9" t="str">
        <x:v>No</x:v>
      </x:c>
      <x:c r="K830" s="9" t="str">
        <x:v>Yes</x:v>
      </x:c>
      <x:c r="L830" s="9" t="str">
        <x:v>No</x:v>
      </x:c>
      <x:c r="M830" s="9" t="str">
        <x:v>Real-time strategy</x:v>
      </x:c>
      <x:c r="N830" s="9" t="str">
        <x:v>Live-action + CG</x:v>
      </x:c>
      <x:c r="O830" s="9" t="n">
        <x:v>3</x:v>
      </x:c>
      <x:c r="P830" s="9" t="str">
        <x:v>Cutscenes only</x:v>
      </x:c>
      <x:c r="Q830" s="9" t="str">
        <x:v>Released</x:v>
      </x:c>
      <x:c r="R830" s="9" t="str">
        <x:v>PC original; Tiberium series</x:v>
      </x:c>
      <x:c r="S830" s="9" t="str">
        <x:v>Xbox 360, Mac OS X</x:v>
      </x:c>
      <x:c r="T830" s="9" t="str">
        <x:v>Joseph D. Kucan (Kane); Michael Ironside (Gen. Jack Granger); Billy Dee Williams (Redmond Boyle); Tricia Helfer (Kilian Qatar); Josh Holloway (Ajay); Jennifer Morrison (Kirce James); Grace Park (Lt. Sandra Telfair)</x:v>
      </x:c>
      <x:c r="U830" s="9" t="n">
        <x:v>1</x:v>
      </x:c>
      <x:c r="V830" s="9" t="str">
        <x:v>Yes</x:v>
      </x:c>
      <x:c r="W830" s="9" t="str">
        <x:v>2 GHz CPU, 512 MB RAM, DVD-ROM, 64 MB DX9 card; Windows XP/Vista</x:v>
      </x:c>
      <x:c r="X830" s="9" t="str">
        <x:v>Low</x:v>
      </x:c>
      <x:c r="Y830" s="9" t="str"/>
      <x:c r="Z830" s="9" t="str">
        <x:v>15–20 hr</x:v>
      </x:c>
      <x:c r="AA830" s="9" t="str">
        <x:v>Kane returns after eight years, with Michael Ironside, Billy Dee Williams and a Battlestar/Lost cast in the most expensive C&amp;C briefings yet.</x:v>
      </x:c>
      <x:c r="AB830" s="9" t="str">
        <x:v>None known</x:v>
      </x:c>
      <x:c r="AC830" s="9" t="str">
        <x:v>Live-action briefings filmed in HD on virtual sets, played between missions (Kane Edition adds a making-of DVD)</x:v>
      </x:c>
      <x:c r="AD830" s="9" t="str">
        <x:v>Moderate; hard difficulty is tough</x:v>
      </x:c>
      <x:c r="AE830" s="9" t="str">
        <x:v>GDI, Nod and Scrin campaigns, each with its own ending</x:v>
      </x:c>
      <x:c r="AF830" s="9" t="str">
        <x:v>The live-action return was a selling point: EA Los Angeles cast TV stars from Battlestar Galactica, Lost and House alongside Joe Kucan.</x:v>
      </x:c>
      <x:c r="AG830" s="9" t="str">
        <x:v>Standard DVD; Kane Edition (bonus DVD); Kane's Wrath expansion; The First Decade-era bundles; Ultimate Collection</x:v>
      </x:c>
      <x:c r="AH830" s="9" t="str">
        <x:v>Yes (C&amp;C The Ultimate Collection on EA app/Steam)</x:v>
      </x:c>
      <x:c r="AI830" s="9" t="str">
        <x:v>Easy</x:v>
      </x:c>
      <x:c r="AJ830" s="9" t="str">
        <x:v>C&amp;C The Ultimate Collection (EA app, Steam); Xbox 360 disc</x:v>
      </x:c>
      <x:c r="AK830" s="9" t="str">
        <x:v>Release March 2007. PriceCharting not fetched: the shared WebFetch budget ran out (re-run price pull).</x:v>
      </x:c>
      <x:c r="AL830" s="10" t="n">
        <x:v>4.6</x:v>
      </x:c>
      <x:c r="AM830" s="10" t="n">
        <x:v>10.23</x:v>
      </x:c>
      <x:c r="AN830" s="10" t="n">
        <x:v>14.86</x:v>
      </x:c>
      <x:c r="AO830" s="9" t="str">
        <x:v>2026-10-24</x:v>
      </x:c>
      <x:c r="AP830" s="11" t="str">
        <x:f>HYPERLINK("https://www.pricecharting.com/game/pc-games/command-&amp;amp;-conquer-3-tiberium-wars","PriceCharting")</x:f>
        <x:v>PriceCharting</x:v>
      </x:c>
      <x:c r="AQ830" s="9"/>
      <x:c r="AR830" s="9"/>
      <x:c r="AS830" s="9"/>
      <x:c r="AT830" s="9"/>
      <x:c r="AU830" s="9"/>
      <x:c r="AV830" s="9"/>
      <x:c r="AW830" s="9"/>
      <x:c r="AX830" s="9"/>
      <x:c r="AY830" s="9" t="str">
        <x:v>87%</x:v>
      </x:c>
      <x:c r="AZ830" s="9" t="str">
        <x:v>3.8</x:v>
      </x:c>
      <x:c r="BA830" s="11" t="str">
        <x:f>HYPERLINK("https://www.mobygames.com/game/windows/command-conquer-3-tiberium-wars","MobyGames")</x:f>
        <x:v>MobyGames</x:v>
      </x:c>
      <x:c r="BB830" s="9" t="str"/>
      <x:c r="BC830" s="9" t="str"/>
      <x:c r="BD830" s="9"/>
      <x:c r="BE830" s="11" t="str">
        <x:f>HYPERLINK("https://en.wikipedia.org/wiki/Command_%26_Conquer_3:_Tiberium_Wars","Wikipedia")</x:f>
        <x:v>Wikipedia</x:v>
      </x:c>
      <x:c r="BF830" s="11" t="str">
        <x:f>HYPERLINK("https://backloggd.com/search/games/Command%20%26%20Conquer%203%3A%20Tiberium%20Wars/","Backloggd")</x:f>
        <x:v>Backloggd</x:v>
      </x:c>
      <x:c r="BG830" s="9"/>
      <x:c r="BH830" s="9"/>
      <x:c r="BI830" s="12" t="str">
        <x:v>No</x:v>
      </x:c>
      <x:c r="BJ830" s="12" t="str"/>
      <x:c r="BK830" s="12" t="str">
        <x:v>No</x:v>
      </x:c>
      <x:c r="BL830" s="12" t="str"/>
      <x:c r="BM830" s="12" t="str"/>
      <x:c r="BN830" s="12" t="str"/>
      <x:c r="BO830" s="12" t="str"/>
      <x:c r="BP830" s="12" t="str"/>
      <x:c r="BQ830" s="12" t="str"/>
    </x:row>
    <x:row r="831">
      <x:c r="A831" s="9" t="str">
        <x:v>pc-184</x:v>
      </x:c>
      <x:c r="B831" s="9" t="str">
        <x:v>command-and-conquer-red-alert-3</x:v>
      </x:c>
      <x:c r="C831" s="9" t="str">
        <x:v>PC</x:v>
      </x:c>
      <x:c r="D831" s="9" t="str">
        <x:v>Command &amp; Conquer: Red Alert 3</x:v>
      </x:c>
      <x:c r="E831" s="9" t="str"/>
      <x:c r="F831" s="9" t="str">
        <x:v>EA Los Angeles</x:v>
      </x:c>
      <x:c r="G831" s="9" t="str">
        <x:v>Electronic Arts</x:v>
      </x:c>
      <x:c r="H831" s="9" t="n">
        <x:v>2008</x:v>
      </x:c>
      <x:c r="I831" s="9" t="str">
        <x:v>Yes</x:v>
      </x:c>
      <x:c r="J831" s="9" t="str">
        <x:v>No</x:v>
      </x:c>
      <x:c r="K831" s="9" t="str">
        <x:v>Yes</x:v>
      </x:c>
      <x:c r="L831" s="9" t="str">
        <x:v>No</x:v>
      </x:c>
      <x:c r="M831" s="9" t="str">
        <x:v>Real-time strategy</x:v>
      </x:c>
      <x:c r="N831" s="9" t="str">
        <x:v>Live-action + CG</x:v>
      </x:c>
      <x:c r="O831" s="9" t="n">
        <x:v>3</x:v>
      </x:c>
      <x:c r="P831" s="9" t="str">
        <x:v>Cutscenes only</x:v>
      </x:c>
      <x:c r="Q831" s="9" t="str">
        <x:v>Released</x:v>
      </x:c>
      <x:c r="R831" s="9" t="str">
        <x:v>PC original; Red Alert series</x:v>
      </x:c>
      <x:c r="S831" s="9" t="str">
        <x:v>Xbox 360, PlayStation 3</x:v>
      </x:c>
      <x:c r="T831" s="9" t="str">
        <x:v>Tim Curry (Premier Cherdenko); J. K. Simmons (President Ackerman); George Takei (Emperor Yoshiro); Jonathan Pryce (Field Marshal Bingham); Peter Stormare (Gen. Krukov); Jenny McCarthy (Tanya); Gina Carano (Natasha); Kelly Hu (Suki Toyama); Ivana Miličević (Dasha); Andrew Divoff (Dr. Zelinsky) (verify roles)</x:v>
      </x:c>
      <x:c r="U831" s="9" t="n">
        <x:v>1</x:v>
      </x:c>
      <x:c r="V831" s="9" t="str">
        <x:v>Yes</x:v>
      </x:c>
      <x:c r="W831" s="9" t="str">
        <x:v>2 GHz CPU, 1 GB RAM, DVD-ROM, 128 MB DX9 card; Windows XP/Vista</x:v>
      </x:c>
      <x:c r="X831" s="9" t="str">
        <x:v>Low</x:v>
      </x:c>
      <x:c r="Y831" s="9" t="str"/>
      <x:c r="Z831" s="9" t="str">
        <x:v>15–20 hr</x:v>
      </x:c>
      <x:c r="AA831" s="9" t="str">
        <x:v>Tim Curry, George Takei and J.K. Simmons hamming it up in full camp: the high point of late live-action C&amp;C.</x:v>
      </x:c>
      <x:c r="AB831" s="9" t="str">
        <x:v>None known</x:v>
      </x:c>
      <x:c r="AC831" s="9" t="str">
        <x:v>HD live-action briefings on virtual sets between missions, co-op campaign</x:v>
      </x:c>
      <x:c r="AD831" s="9" t="str">
        <x:v>Moderate</x:v>
      </x:c>
      <x:c r="AE831" s="9" t="str">
        <x:v>Allied, Soviet and Empire of the Rising Sun campaigns, each with its own ending</x:v>
      </x:c>
      <x:c r="AF831" s="9" t="str">
        <x:v>Tim Curry's Premier Cherdenko and his dream of going to space became a lasting internet clip.</x:v>
      </x:c>
      <x:c r="AG831" s="9" t="str">
        <x:v>Standard DVD; Premier Edition; Ultimate Edition (PS3); Uprising expansion; Ultimate Collection</x:v>
      </x:c>
      <x:c r="AH831" s="9" t="str">
        <x:v>Yes (Steam, EA app; C&amp;C The Ultimate Collection)</x:v>
      </x:c>
      <x:c r="AI831" s="9" t="str">
        <x:v>Easy</x:v>
      </x:c>
      <x:c r="AJ831" s="9" t="str">
        <x:v>Steam and EA app; Xbox 360/PS3 discs</x:v>
      </x:c>
      <x:c r="AK831" s="9" t="str">
        <x:v>Release Oct 28, 2008 (NA). PriceCharting not fetched: the shared WebFetch budget ran out (re-run price pull).</x:v>
      </x:c>
      <x:c r="AL831" s="10" t="n">
        <x:v>8.96</x:v>
      </x:c>
      <x:c r="AM831" s="10" t="n">
        <x:v>11.99</x:v>
      </x:c>
      <x:c r="AN831" s="10" t="n">
        <x:v>19.83</x:v>
      </x:c>
      <x:c r="AO831" s="9" t="str">
        <x:v>2026-10-24</x:v>
      </x:c>
      <x:c r="AP831" s="11" t="str">
        <x:f>HYPERLINK("https://www.pricecharting.com/game/pc-games/command-&amp;amp;-conquer-red-alert-3","PriceCharting")</x:f>
        <x:v>PriceCharting</x:v>
      </x:c>
      <x:c r="AQ831" s="9"/>
      <x:c r="AR831" s="9"/>
      <x:c r="AS831" s="9"/>
      <x:c r="AT831" s="9"/>
      <x:c r="AU831" s="9"/>
      <x:c r="AV831" s="9"/>
      <x:c r="AW831" s="9"/>
      <x:c r="AX831" s="9"/>
      <x:c r="AY831" s="9" t="str">
        <x:v>82%</x:v>
      </x:c>
      <x:c r="AZ831" s="9" t="str">
        <x:v>3.4</x:v>
      </x:c>
      <x:c r="BA831" s="11" t="str">
        <x:f>HYPERLINK("https://www.mobygames.com/game/windows/command-conquer-red-alert-3","MobyGames")</x:f>
        <x:v>MobyGames</x:v>
      </x:c>
      <x:c r="BB831" s="9" t="str"/>
      <x:c r="BC831" s="9" t="str"/>
      <x:c r="BD831" s="9"/>
      <x:c r="BE831" s="11" t="str">
        <x:f>HYPERLINK("https://en.wikipedia.org/wiki/Command_%26_Conquer:_Red_Alert_3","Wikipedia")</x:f>
        <x:v>Wikipedia</x:v>
      </x:c>
      <x:c r="BF831" s="11" t="str">
        <x:f>HYPERLINK("https://backloggd.com/search/games/Command%20%26%20Conquer%3A%20Red%20Alert%203/","Backloggd")</x:f>
        <x:v>Backloggd</x:v>
      </x:c>
      <x:c r="BG831" s="9"/>
      <x:c r="BH831" s="9"/>
      <x:c r="BI831" s="12" t="str">
        <x:v>No</x:v>
      </x:c>
      <x:c r="BJ831" s="12" t="str"/>
      <x:c r="BK831" s="12" t="str">
        <x:v>No</x:v>
      </x:c>
      <x:c r="BL831" s="12" t="str"/>
      <x:c r="BM831" s="12" t="str"/>
      <x:c r="BN831" s="12" t="str"/>
      <x:c r="BO831" s="12" t="str"/>
      <x:c r="BP831" s="12" t="str"/>
      <x:c r="BQ831" s="12" t="str"/>
    </x:row>
    <x:row r="832">
      <x:c r="A832" s="9" t="str">
        <x:v>pc-185</x:v>
      </x:c>
      <x:c r="B832" s="9" t="str">
        <x:v>command-and-conquer-red-alert-3-uprising</x:v>
      </x:c>
      <x:c r="C832" s="9" t="str">
        <x:v>PC</x:v>
      </x:c>
      <x:c r="D832" s="9" t="str">
        <x:v>Command &amp; Conquer: Red Alert 3 – Uprising</x:v>
      </x:c>
      <x:c r="E832" s="9" t="str"/>
      <x:c r="F832" s="9" t="str">
        <x:v>EA Los Angeles</x:v>
      </x:c>
      <x:c r="G832" s="9" t="str">
        <x:v>Electronic Arts</x:v>
      </x:c>
      <x:c r="H832" s="9" t="n">
        <x:v>2009</x:v>
      </x:c>
      <x:c r="I832" s="9" t="str">
        <x:v>Yes</x:v>
      </x:c>
      <x:c r="J832" s="9" t="str">
        <x:v>No</x:v>
      </x:c>
      <x:c r="K832" s="9" t="str">
        <x:v>Yes</x:v>
      </x:c>
      <x:c r="L832" s="9" t="str">
        <x:v>No</x:v>
      </x:c>
      <x:c r="M832" s="9" t="str">
        <x:v>Real-time strategy (standalone expansion)</x:v>
      </x:c>
      <x:c r="N832" s="9" t="str">
        <x:v>Live-action + CG</x:v>
      </x:c>
      <x:c r="O832" s="9" t="n">
        <x:v>3</x:v>
      </x:c>
      <x:c r="P832" s="9" t="str">
        <x:v>Cutscenes only</x:v>
      </x:c>
      <x:c r="Q832" s="9" t="str">
        <x:v>Released</x:v>
      </x:c>
      <x:c r="R832" s="9" t="str">
        <x:v>Standalone expansion for Red Alert 3</x:v>
      </x:c>
      <x:c r="S832" s="9" t="str">
        <x:v>Xbox 360/PS3 as Red Alert 3: Commander's Challenge (different content)</x:v>
      </x:c>
      <x:c r="T832" s="9" t="str">
        <x:v>Ric Flair (Soviet commander); others (verify)</x:v>
      </x:c>
      <x:c r="U832" s="9" t="n">
        <x:v>0</x:v>
      </x:c>
      <x:c r="V832" s="9" t="str">
        <x:v>Yes</x:v>
      </x:c>
      <x:c r="W832" s="9" t="str">
        <x:v>2 GHz CPU, 1 GB RAM, 128 MB DX9 card; Windows XP/Vista; digital download</x:v>
      </x:c>
      <x:c r="X832" s="9" t="str">
        <x:v>Low</x:v>
      </x:c>
      <x:c r="Y832" s="9" t="str"/>
      <x:c r="Z832" s="9" t="str">
        <x:v>6–10 hr</x:v>
      </x:c>
      <x:c r="AA832" s="9" t="str">
        <x:v>Ric Flair joins the Red Alert universe in a standalone expansion with a new Yuriko Omega campaign.</x:v>
      </x:c>
      <x:c r="AB832" s="9" t="str">
        <x:v>None known</x:v>
      </x:c>
      <x:c r="AC832" s="9" t="str">
        <x:v>HD live-action briefings on virtual sets</x:v>
      </x:c>
      <x:c r="AD832" s="9" t="str">
        <x:v>Moderate to hard</x:v>
      </x:c>
      <x:c r="AE832" s="9" t="str">
        <x:v>Four mini-campaigns, each with its own ending</x:v>
      </x:c>
      <x:c r="AF832" s="9" t="str">
        <x:v>Released as a digital-only standalone expansion on PC; a retail box appeared in some regions (verify).</x:v>
      </x:c>
      <x:c r="AG832" s="9" t="str">
        <x:v>Digital download (EA Store, Steam); retail in some regions (verify); Ultimate Collection</x:v>
      </x:c>
      <x:c r="AH832" s="9" t="str">
        <x:v>Yes (Steam, EA app)</x:v>
      </x:c>
      <x:c r="AI832" s="9" t="str">
        <x:v>Easy</x:v>
      </x:c>
      <x:c r="AJ832" s="9" t="str">
        <x:v>Steam and EA app</x:v>
      </x:c>
      <x:c r="AK832" s="9" t="str">
        <x:v>Release March 2009. Digital-first, so price null.</x:v>
      </x:c>
      <x:c r="AL832" s="10"/>
      <x:c r="AM832" s="10"/>
      <x:c r="AN832" s="10"/>
      <x:c r="AO832" s="9"/>
      <x:c r="AP832" s="11" t="str">
        <x:f>HYPERLINK("https://www.pricecharting.com/search-products?q=Command+%26+Conquer%3A+Red+Alert+3+%E2%80%93+Uprising+pc+games&amp;type=prices","PriceCharting")</x:f>
        <x:v>PriceCharting</x:v>
      </x:c>
      <x:c r="AQ832" s="9"/>
      <x:c r="AR832" s="9"/>
      <x:c r="AS832" s="9"/>
      <x:c r="AT832" s="9"/>
      <x:c r="AU832" s="9" t="str">
        <x:v>No market</x:v>
      </x:c>
      <x:c r="AV832" s="9" t="str">
        <x:v>Not sold on Steam or GOG (checked 2026-10-25) and no PriceCharting listing.</x:v>
      </x:c>
      <x:c r="AW832" s="9"/>
      <x:c r="AX832" s="9"/>
      <x:c r="AY832" s="9" t="str">
        <x:v>69%</x:v>
      </x:c>
      <x:c r="AZ832" s="9" t="str">
        <x:v>3.4</x:v>
      </x:c>
      <x:c r="BA832" s="11" t="str">
        <x:f>HYPERLINK("https://www.mobygames.com/game/windows/command-conquer-red-alert-3-uprising","MobyGames")</x:f>
        <x:v>MobyGames</x:v>
      </x:c>
      <x:c r="BB832" s="9" t="str"/>
      <x:c r="BC832" s="9" t="str"/>
      <x:c r="BD832" s="9"/>
      <x:c r="BE832" s="11" t="str">
        <x:f>HYPERLINK("https://en.wikipedia.org/wiki/Command_%26_Conquer:_Red_Alert_3_%E2%80%93_Uprising","Wikipedia")</x:f>
        <x:v>Wikipedia</x:v>
      </x:c>
      <x:c r="BF832" s="11" t="str">
        <x:f>HYPERLINK("https://backloggd.com/search/games/Command%20%26%20Conquer%3A%20Red%20Alert%203%20%E2%80%93%20Uprising/","Backloggd")</x:f>
        <x:v>Backloggd</x:v>
      </x:c>
      <x:c r="BG832" s="9"/>
      <x:c r="BH832" s="9"/>
      <x:c r="BI832" s="12" t="str">
        <x:v>No</x:v>
      </x:c>
      <x:c r="BJ832" s="12" t="str"/>
      <x:c r="BK832" s="12" t="str">
        <x:v>No</x:v>
      </x:c>
      <x:c r="BL832" s="12" t="str"/>
      <x:c r="BM832" s="12" t="str"/>
      <x:c r="BN832" s="12" t="str"/>
      <x:c r="BO832" s="12" t="str"/>
      <x:c r="BP832" s="12" t="str"/>
      <x:c r="BQ832" s="12" t="str"/>
    </x:row>
    <x:row r="833">
      <x:c r="A833" s="9" t="str">
        <x:v>pc-186</x:v>
      </x:c>
      <x:c r="B833" s="9" t="str">
        <x:v>command-and-conquer-4-tiberian-twilight</x:v>
      </x:c>
      <x:c r="C833" s="9" t="str">
        <x:v>PC</x:v>
      </x:c>
      <x:c r="D833" s="9" t="str">
        <x:v>Command &amp; Conquer 4: Tiberian Twilight</x:v>
      </x:c>
      <x:c r="E833" s="9" t="str"/>
      <x:c r="F833" s="9" t="str">
        <x:v>EA Los Angeles</x:v>
      </x:c>
      <x:c r="G833" s="9" t="str">
        <x:v>Electronic Arts</x:v>
      </x:c>
      <x:c r="H833" s="9" t="n">
        <x:v>2010</x:v>
      </x:c>
      <x:c r="I833" s="9" t="str">
        <x:v>Yes</x:v>
      </x:c>
      <x:c r="J833" s="9" t="str">
        <x:v>No</x:v>
      </x:c>
      <x:c r="K833" s="9" t="str">
        <x:v>Yes</x:v>
      </x:c>
      <x:c r="L833" s="9" t="str">
        <x:v>No</x:v>
      </x:c>
      <x:c r="M833" s="9" t="str">
        <x:v>Real-time strategy</x:v>
      </x:c>
      <x:c r="N833" s="9" t="str">
        <x:v>Live-action + CG</x:v>
      </x:c>
      <x:c r="O833" s="9" t="n">
        <x:v>3</x:v>
      </x:c>
      <x:c r="P833" s="9" t="str">
        <x:v>Cutscenes only</x:v>
      </x:c>
      <x:c r="Q833" s="9" t="str">
        <x:v>Released</x:v>
      </x:c>
      <x:c r="R833" s="9" t="str">
        <x:v>PC original; end of the Tiberium saga</x:v>
      </x:c>
      <x:c r="S833" s="9" t="str">
        <x:v>None</x:v>
      </x:c>
      <x:c r="T833" s="9" t="str">
        <x:v>Joseph D. Kucan (Kane); others (verify)</x:v>
      </x:c>
      <x:c r="U833" s="9" t="n">
        <x:v>1</x:v>
      </x:c>
      <x:c r="V833" s="9" t="str">
        <x:v>Yes</x:v>
      </x:c>
      <x:c r="W833" s="9" t="str">
        <x:v>2 GHz dual core, 1 GB RAM, DVD-ROM, 256 MB DX9 card; Windows XP/Vista/7; originally always online</x:v>
      </x:c>
      <x:c r="X833" s="9" t="str">
        <x:v>Low</x:v>
      </x:c>
      <x:c r="Y833" s="9" t="str"/>
      <x:c r="Z833" s="9" t="str">
        <x:v>8–12 hr</x:v>
      </x:c>
      <x:c r="AA833" s="9" t="str">
        <x:v>Kane's last sermon: the live-action finale of the Tiberium story that fans still argue about.</x:v>
      </x:c>
      <x:c r="AB833" s="9" t="str">
        <x:v>None known</x:v>
      </x:c>
      <x:c r="AC833" s="9" t="str">
        <x:v>HD live-action cutscenes from the player's point of view between missions</x:v>
      </x:c>
      <x:c r="AD833" s="9" t="str">
        <x:v>Moderate</x:v>
      </x:c>
      <x:c r="AE833" s="9" t="str">
        <x:v>GDI and Nod campaigns converge on one ending</x:v>
      </x:c>
      <x:c r="AF833" s="9" t="str">
        <x:v>Joe Kucan's final turn as Kane, a role he played from 1995; the always-online DRM and class-based design drew heavy fan criticism.</x:v>
      </x:c>
      <x:c r="AG833" s="9" t="str">
        <x:v>Retail DVD; digital; Ultimate Collection</x:v>
      </x:c>
      <x:c r="AH833" s="9" t="str">
        <x:v>Yes (Steam, EA app; C&amp;C The Ultimate Collection)</x:v>
      </x:c>
      <x:c r="AI833" s="9" t="str">
        <x:v>Easy</x:v>
      </x:c>
      <x:c r="AJ833" s="9" t="str">
        <x:v>Steam and EA app</x:v>
      </x:c>
      <x:c r="AK833" s="9" t="str">
        <x:v>Release March 2010. PriceCharting not fetched: the shared WebFetch budget ran out (re-run price pull).</x:v>
      </x:c>
      <x:c r="AL833" s="10"/>
      <x:c r="AM833" s="10"/>
      <x:c r="AN833" s="10"/>
      <x:c r="AO833" s="9"/>
      <x:c r="AP833" s="11" t="str">
        <x:f>HYPERLINK("https://www.pricecharting.com/search-products?q=Command+%26+Conquer+4%3A+Tiberian+Twilight+pc+games&amp;type=prices","PriceCharting")</x:f>
        <x:v>PriceCharting</x:v>
      </x:c>
      <x:c r="AQ833" s="9"/>
      <x:c r="AR833" s="9"/>
      <x:c r="AS833" s="9"/>
      <x:c r="AT833" s="9"/>
      <x:c r="AU833" s="9" t="str">
        <x:v>No market</x:v>
      </x:c>
      <x:c r="AV833" s="9" t="str">
        <x:v>Not sold on Steam or GOG (checked 2026-10-25) and no PriceCharting listing.</x:v>
      </x:c>
      <x:c r="AW833" s="9"/>
      <x:c r="AX833" s="9"/>
      <x:c r="AY833" s="9" t="str">
        <x:v>65%</x:v>
      </x:c>
      <x:c r="AZ833" s="9" t="str">
        <x:v>2.8</x:v>
      </x:c>
      <x:c r="BA833" s="11" t="str">
        <x:f>HYPERLINK("https://www.mobygames.com/game/windows/command-conquer-4-tiberian-twilight","MobyGames")</x:f>
        <x:v>MobyGames</x:v>
      </x:c>
      <x:c r="BB833" s="9" t="str"/>
      <x:c r="BC833" s="9" t="str"/>
      <x:c r="BD833" s="9"/>
      <x:c r="BE833" s="11" t="str">
        <x:f>HYPERLINK("https://en.wikipedia.org/wiki/Command_%26_Conquer_4:_Tiberian_Twilight","Wikipedia")</x:f>
        <x:v>Wikipedia</x:v>
      </x:c>
      <x:c r="BF833" s="11" t="str">
        <x:f>HYPERLINK("https://backloggd.com/search/games/Command%20%26%20Conquer%204%3A%20Tiberian%20Twilight/","Backloggd")</x:f>
        <x:v>Backloggd</x:v>
      </x:c>
      <x:c r="BG833" s="9"/>
      <x:c r="BH833" s="9"/>
      <x:c r="BI833" s="12" t="str">
        <x:v>No</x:v>
      </x:c>
      <x:c r="BJ833" s="12" t="str"/>
      <x:c r="BK833" s="12" t="str">
        <x:v>No</x:v>
      </x:c>
      <x:c r="BL833" s="12" t="str"/>
      <x:c r="BM833" s="12" t="str"/>
      <x:c r="BN833" s="12" t="str"/>
      <x:c r="BO833" s="12" t="str"/>
      <x:c r="BP833" s="12" t="str"/>
      <x:c r="BQ833" s="12" t="str"/>
    </x:row>
    <x:row r="834">
      <x:c r="A834" s="9" t="str">
        <x:v>pc-187</x:v>
      </x:c>
      <x:c r="B834" s="9" t="str">
        <x:v>tex-murphy-tesla-effect</x:v>
      </x:c>
      <x:c r="C834" s="9" t="str">
        <x:v>PC</x:v>
      </x:c>
      <x:c r="D834" s="9" t="str">
        <x:v>Tex Murphy: Tesla Effect</x:v>
      </x:c>
      <x:c r="E834" s="9" t="str">
        <x:v>Tesla Effect: A Tex Murphy Adventure</x:v>
      </x:c>
      <x:c r="F834" s="9" t="str">
        <x:v>Big Finish Games</x:v>
      </x:c>
      <x:c r="G834" s="9" t="str">
        <x:v>Atlus</x:v>
      </x:c>
      <x:c r="H834" s="9" t="n">
        <x:v>2014</x:v>
      </x:c>
      <x:c r="I834" s="9" t="str">
        <x:v>Yes</x:v>
      </x:c>
      <x:c r="J834" s="9" t="str">
        <x:v>No</x:v>
      </x:c>
      <x:c r="K834" s="9" t="str">
        <x:v>Yes</x:v>
      </x:c>
      <x:c r="L834" s="9" t="str">
        <x:v>No</x:v>
      </x:c>
      <x:c r="M834" s="9" t="str">
        <x:v>Adventure</x:v>
      </x:c>
      <x:c r="N834" s="9" t="str">
        <x:v>Live-action + CG</x:v>
      </x:c>
      <x:c r="O834" s="9" t="n">
        <x:v>6</x:v>
      </x:c>
      <x:c r="P834" s="9" t="str">
        <x:v>FMV adventure</x:v>
      </x:c>
      <x:c r="Q834" s="9" t="str">
        <x:v>Released</x:v>
      </x:c>
      <x:c r="R834" s="9" t="str">
        <x:v>PC original (Kickstarter-funded sequel to Tex Murphy: Overseer)</x:v>
      </x:c>
      <x:c r="S834" s="9" t="str">
        <x:v>macOS</x:v>
      </x:c>
      <x:c r="T834" s="9" t="str">
        <x:v>Chris Jones (Tex Murphy); June Lockhart, Steve Valentine, Todd Bridges, Larry Thomas (roles verify)</x:v>
      </x:c>
      <x:c r="U834" s="9" t="n">
        <x:v>0</x:v>
      </x:c>
      <x:c r="V834" s="9" t="str">
        <x:v>Yes</x:v>
      </x:c>
      <x:c r="W834" s="9" t="str">
        <x:v>Windows (XP/Vista/7 era), DirectX 9, 3D card (verify exact spec); also macOS</x:v>
      </x:c>
      <x:c r="X834" s="9" t="str">
        <x:v>Low</x:v>
      </x:c>
      <x:c r="Y834" s="9" t="str"/>
      <x:c r="Z834" s="9" t="str">
        <x:v>15–25 hr</x:v>
      </x:c>
      <x:c r="AA834" s="9" t="str">
        <x:v>Chris Jones puts the fedora back on after 16 years for a crowdfunded return of the last great FMV adventure series.</x:v>
      </x:c>
      <x:c r="AB834" s="9" t="str">
        <x:v>None known</x:v>
      </x:c>
      <x:c r="AC834" s="9" t="str">
        <x:v>Green-screen live action composited into 3D sets at up to 2K; about 5.5 hr of FMV between first-person 3D exploration</x:v>
      </x:c>
      <x:c r="AD834" s="9" t="str">
        <x:v>Moderate; pixel-hunting and puzzle-heavy, with an in-game hint system</x:v>
      </x:c>
      <x:c r="AE834" s="9" t="str">
        <x:v>Multiple endings driven by dialogue choices and Tex's 'path' (verify count)</x:v>
      </x:c>
      <x:c r="AF834" s="9" t="str">
        <x:v>The Kickstarter raised $657,196; the shoot produced over 140 hours of raw footage and 2,600 shots, and the title was revealed on Tesla's birthday.</x:v>
      </x:c>
      <x:c r="AG834" s="9" t="str">
        <x:v>Digital (Steam, GOG); Kickstarter backer boxed/collector's editions (verify)</x:v>
      </x:c>
      <x:c r="AH834" s="9" t="str">
        <x:v>Yes (Steam, GOG)</x:v>
      </x:c>
      <x:c r="AI834" s="9" t="str">
        <x:v>Easy</x:v>
      </x:c>
      <x:c r="AJ834" s="9" t="str">
        <x:v>Steam and GOG (Windows, macOS).</x:v>
      </x:c>
      <x:c r="AK834" s="9" t="str">
        <x:v>Metacritic 68 from Wikipedia (review count not given). MobyGames score not checked. PriceCharting not checked: the shared WebFetch budget ran out; price null (re-run price pull if a PC retail box exists).</x:v>
      </x:c>
      <x:c r="AL834" s="10"/>
      <x:c r="AM834" s="10"/>
      <x:c r="AN834" s="10"/>
      <x:c r="AO834" s="9"/>
      <x:c r="AP834" s="11" t="str">
        <x:f>HYPERLINK("https://www.pricecharting.com/search-products?q=Tex+Murphy%3A+Tesla+Effect+pc+games&amp;type=prices","PriceCharting")</x:f>
        <x:v>PriceCharting</x:v>
      </x:c>
      <x:c r="AQ834" s="9" t="n">
        <x:v>3.99</x:v>
      </x:c>
      <x:c r="AR834" s="11" t="str">
        <x:v>GOG</x:v>
      </x:c>
      <x:c r="AS834" s="9" t="str">
        <x:f>HYPERLINK("https://www.gog.com/en/game/tesla_effect_a_tex_murphy_adventure","Store")</x:f>
        <x:v>Store</x:v>
      </x:c>
      <x:c r="AT834" s="9" t="str">
        <x:v>2026-10-24</x:v>
      </x:c>
      <x:c r="AU834" s="9"/>
      <x:c r="AV834" s="9"/>
      <x:c r="AW834" s="9"/>
      <x:c r="AX834" s="9"/>
      <x:c r="AY834" s="9" t="str">
        <x:v>73%</x:v>
      </x:c>
      <x:c r="AZ834" s="9" t="str">
        <x:v>4.1</x:v>
      </x:c>
      <x:c r="BA834" s="11" t="str">
        <x:f>HYPERLINK("https://www.mobygames.com/game/windows/tesla-effect-a-tex-murphy-adventure","MobyGames")</x:f>
        <x:v>MobyGames</x:v>
      </x:c>
      <x:c r="BB834" s="9" t="str">
        <x:v>68%</x:v>
      </x:c>
      <x:c r="BC834" s="9" t="str">
        <x:v>Metacritic (PC), via Wikipedia; review count not given</x:v>
      </x:c>
      <x:c r="BD834" s="9" t="str">
        <x:f>HYPERLINK("https://www.metacritic.com/game/tesla-effect-a-tex-murphy-adventure/","Source")</x:f>
        <x:v>Source</x:v>
      </x:c>
      <x:c r="BE834" s="11" t="str">
        <x:f>HYPERLINK("https://en.wikipedia.org/wiki/Tesla_Effect","Wikipedia")</x:f>
        <x:v>Wikipedia</x:v>
      </x:c>
      <x:c r="BF834" s="11" t="str">
        <x:f>HYPERLINK("https://backloggd.com/search/games/Tex%20Murphy%3A%20Tesla%20Effect/","Backloggd")</x:f>
        <x:v>Backloggd</x:v>
      </x:c>
      <x:c r="BG834" s="9"/>
      <x:c r="BH834" s="9"/>
      <x:c r="BI834" s="12" t="str">
        <x:v>No</x:v>
      </x:c>
      <x:c r="BJ834" s="12" t="str"/>
      <x:c r="BK834" s="12" t="str">
        <x:v>No</x:v>
      </x:c>
      <x:c r="BL834" s="12" t="str"/>
      <x:c r="BM834" s="12" t="str"/>
      <x:c r="BN834" s="12" t="str"/>
      <x:c r="BO834" s="12" t="str"/>
      <x:c r="BP834" s="12" t="str"/>
      <x:c r="BQ834" s="12" t="str"/>
    </x:row>
    <x:row r="835">
      <x:c r="A835" s="9" t="str">
        <x:v>pc-188</x:v>
      </x:c>
      <x:c r="B835" s="9" t="str">
        <x:v>roundabout</x:v>
      </x:c>
      <x:c r="C835" s="9" t="str">
        <x:v>PC</x:v>
      </x:c>
      <x:c r="D835" s="9" t="str">
        <x:v>Roundabout</x:v>
      </x:c>
      <x:c r="E835" s="9" t="str"/>
      <x:c r="F835" s="9" t="str">
        <x:v>No Goblin</x:v>
      </x:c>
      <x:c r="G835" s="9" t="str">
        <x:v>No Goblin</x:v>
      </x:c>
      <x:c r="H835" s="9" t="n">
        <x:v>2014</x:v>
      </x:c>
      <x:c r="I835" s="9" t="str">
        <x:v>Yes</x:v>
      </x:c>
      <x:c r="J835" s="9" t="str">
        <x:v>No</x:v>
      </x:c>
      <x:c r="K835" s="9" t="str">
        <x:v>Yes</x:v>
      </x:c>
      <x:c r="L835" s="9" t="str">
        <x:v>No</x:v>
      </x:c>
      <x:c r="M835" s="9" t="str">
        <x:v>Driving / puzzle</x:v>
      </x:c>
      <x:c r="N835" s="9" t="str">
        <x:v>Live-action</x:v>
      </x:c>
      <x:c r="O835" s="9" t="n">
        <x:v>3</x:v>
      </x:c>
      <x:c r="P835" s="9" t="str">
        <x:v>Cutscenes only</x:v>
      </x:c>
      <x:c r="Q835" s="9" t="str">
        <x:v>Released</x:v>
      </x:c>
      <x:c r="R835" s="9" t="str">
        <x:v>PC original (2014)</x:v>
      </x:c>
      <x:c r="S835" s="9" t="str">
        <x:v>macOS, Linux, Xbox One (2015), PS4 (2015), PS Vita (2018)</x:v>
      </x:c>
      <x:c r="T835" s="9" t="str">
        <x:v>Unknown — verify (Georgio Manos is silent; passengers are live-action actors)</x:v>
      </x:c>
      <x:c r="U835" s="9" t="n">
        <x:v>0</x:v>
      </x:c>
      <x:c r="V835" s="9" t="str">
        <x:v>Yes</x:v>
      </x:c>
      <x:c r="W835" s="9" t="str">
        <x:v>Windows, modest spec (verify); also macOS, Linux; gamepad recommended</x:v>
      </x:c>
      <x:c r="X835" s="9" t="str">
        <x:v>Low</x:v>
      </x:c>
      <x:c r="Y835" s="9" t="str"/>
      <x:c r="Z835" s="9" t="str">
        <x:v>3–5 hr</x:v>
      </x:c>
      <x:c r="AA835" s="9" t="str">
        <x:v>A silent chauffeur in an endlessly spinning limousine, with deliberately cheesy 1970s live-action FMV passengers.</x:v>
      </x:c>
      <x:c r="AB835" s="9" t="str">
        <x:v>None known</x:v>
      </x:c>
      <x:c r="AC835" s="9" t="str">
        <x:v>Live-action FMV cutscene as each passenger boards, styled after 1970s B-movies; gameplay is 3D (verify resolution)</x:v>
      </x:c>
      <x:c r="AD835" s="9" t="str">
        <x:v>Easy story; hard optional challenges</x:v>
      </x:c>
      <x:c r="AE835" s="9" t="str">
        <x:v>Single ending (verify)</x:v>
      </x:c>
      <x:c r="AF835" s="9" t="str">
        <x:v>Inspired by Kuru Kuru Kururin and Crazy Taxi; Polygon called it a hybrid of driving, puzzle and FMV games.</x:v>
      </x:c>
      <x:c r="AG835" s="9" t="str">
        <x:v>Digital only (verify any physical console edition)</x:v>
      </x:c>
      <x:c r="AH835" s="9" t="str">
        <x:v>Yes (Steam, GOG, Humble (verify); PS4, Xbox One)</x:v>
      </x:c>
      <x:c r="AI835" s="9" t="str">
        <x:v>Easy</x:v>
      </x:c>
      <x:c r="AJ835" s="9" t="str">
        <x:v>Steam (Windows, macOS, Linux); PS4/Vita and Xbox One stores.</x:v>
      </x:c>
      <x:c r="AK835" s="9" t="str">
        <x:v>Live-action video is limited to mission-opening cutscenes, so it is a cutscene title; keep only if the FMV gimmick counts. Metacritic PC 75 via Wikipedia. Digital-only release, no PriceCharting listing.</x:v>
      </x:c>
      <x:c r="AL835" s="10"/>
      <x:c r="AM835" s="10"/>
      <x:c r="AN835" s="10"/>
      <x:c r="AO835" s="9"/>
      <x:c r="AP835" s="11" t="str">
        <x:f>HYPERLINK("https://www.pricecharting.com/search-products?q=Roundabout+pc+games&amp;type=prices","PriceCharting")</x:f>
        <x:v>PriceCharting</x:v>
      </x:c>
      <x:c r="AQ835" s="9" t="n">
        <x:v>9.99</x:v>
      </x:c>
      <x:c r="AR835" s="11" t="str">
        <x:v>Steam</x:v>
      </x:c>
      <x:c r="AS835" s="9" t="str">
        <x:f>HYPERLINK("https://store.steampowered.com/app/303430/","Store")</x:f>
        <x:v>Store</x:v>
      </x:c>
      <x:c r="AT835" s="9" t="str">
        <x:v>2026-10-24</x:v>
      </x:c>
      <x:c r="AU835" s="9"/>
      <x:c r="AV835" s="9"/>
      <x:c r="AW835" s="9"/>
      <x:c r="AX835" s="9"/>
      <x:c r="AY835" s="9" t="str">
        <x:v>79%</x:v>
      </x:c>
      <x:c r="AZ835" s="9"/>
      <x:c r="BA835" s="11" t="str">
        <x:f>HYPERLINK("https://www.mobygames.com/game/windows/roundabout","MobyGames")</x:f>
        <x:v>MobyGames</x:v>
      </x:c>
      <x:c r="BB835" s="9" t="str">
        <x:v>75%</x:v>
      </x:c>
      <x:c r="BC835" s="9" t="str">
        <x:v>Metacritic (PC), via Wikipedia; review count not given</x:v>
      </x:c>
      <x:c r="BD835" s="9" t="str">
        <x:f>HYPERLINK("https://www.metacritic.com/game/roundabout/","Source")</x:f>
        <x:v>Source</x:v>
      </x:c>
      <x:c r="BE835" s="11" t="str">
        <x:f>HYPERLINK("https://en.wikipedia.org/wiki/Roundabout_(video_game)","Wikipedia")</x:f>
        <x:v>Wikipedia</x:v>
      </x:c>
      <x:c r="BF835" s="11" t="str">
        <x:f>HYPERLINK("https://backloggd.com/search/games/Roundabout/","Backloggd")</x:f>
        <x:v>Backloggd</x:v>
      </x:c>
      <x:c r="BG835" s="9"/>
      <x:c r="BH835" s="9"/>
      <x:c r="BI835" s="12" t="str">
        <x:v>No</x:v>
      </x:c>
      <x:c r="BJ835" s="12" t="str"/>
      <x:c r="BK835" s="12" t="str">
        <x:v>No</x:v>
      </x:c>
      <x:c r="BL835" s="12" t="str"/>
      <x:c r="BM835" s="12" t="str"/>
      <x:c r="BN835" s="12" t="str"/>
      <x:c r="BO835" s="12" t="str"/>
      <x:c r="BP835" s="12" t="str"/>
      <x:c r="BQ835" s="12" t="str"/>
    </x:row>
    <x:row r="836">
      <x:c r="A836" s="9" t="str">
        <x:v>pc-189</x:v>
      </x:c>
      <x:c r="B836" s="9" t="str">
        <x:v>her-story</x:v>
      </x:c>
      <x:c r="C836" s="9" t="str">
        <x:v>PC</x:v>
      </x:c>
      <x:c r="D836" s="9" t="str">
        <x:v>Her Story</x:v>
      </x:c>
      <x:c r="E836" s="9" t="str"/>
      <x:c r="F836" s="9" t="str">
        <x:v>Sam Barlow</x:v>
      </x:c>
      <x:c r="G836" s="9" t="str">
        <x:v>Sam Barlow</x:v>
      </x:c>
      <x:c r="H836" s="9" t="n">
        <x:v>2015</x:v>
      </x:c>
      <x:c r="I836" s="9" t="str">
        <x:v>Yes</x:v>
      </x:c>
      <x:c r="J836" s="9" t="str">
        <x:v>No</x:v>
      </x:c>
      <x:c r="K836" s="9" t="str">
        <x:v>Yes</x:v>
      </x:c>
      <x:c r="L836" s="9" t="str">
        <x:v>No</x:v>
      </x:c>
      <x:c r="M836" s="9" t="str">
        <x:v>Interactive film / database mystery</x:v>
      </x:c>
      <x:c r="N836" s="9" t="str">
        <x:v>Live-action</x:v>
      </x:c>
      <x:c r="O836" s="9" t="n">
        <x:v>10</x:v>
      </x:c>
      <x:c r="P836" s="9" t="str">
        <x:v>Interactive movie</x:v>
      </x:c>
      <x:c r="Q836" s="9" t="str">
        <x:v>Released</x:v>
      </x:c>
      <x:c r="R836" s="9" t="str">
        <x:v>PC/iOS original (2015)</x:v>
      </x:c>
      <x:c r="S836" s="9" t="str">
        <x:v>macOS, iOS (same day), Android (2016)</x:v>
      </x:c>
      <x:c r="T836" s="9" t="str">
        <x:v>Viva Seifert (Hannah Smith)</x:v>
      </x:c>
      <x:c r="U836" s="9" t="n">
        <x:v>0</x:v>
      </x:c>
      <x:c r="V836" s="9" t="str">
        <x:v>Yes</x:v>
      </x:c>
      <x:c r="W836" s="9" t="str">
        <x:v>Windows, low spec, keyboard required for search (verify exact spec); also macOS</x:v>
      </x:c>
      <x:c r="X836" s="9" t="str">
        <x:v>Low</x:v>
      </x:c>
      <x:c r="Y836" s="9" t="str"/>
      <x:c r="Z836" s="9" t="str">
        <x:v>1–3 hr</x:v>
      </x:c>
      <x:c r="AA836" s="9" t="str">
        <x:v>Type words into a 1994 police computer and rebuild a murder story from 271 clips of one woman's interviews.</x:v>
      </x:c>
      <x:c r="AB836" s="9" t="str">
        <x:v>None known</x:v>
      </x:c>
      <x:c r="AC836" s="9" t="str">
        <x:v>271 live-action interview clips, deliberately degraded through VHS for a 1994 look; non-linear database search</x:v>
      </x:c>
      <x:c r="AD836" s="9" t="str">
        <x:v>Open-ended; the player decides when they are done</x:v>
      </x:c>
      <x:c r="AE836" s="9" t="str">
        <x:v>One revelation; the game ends when the player chooses to after a chat prompt</x:v>
      </x:c>
      <x:c r="AF836" s="9" t="str">
        <x:v>Filmed over five days in a council building in Truro, Cornwall; Barlow ran the footage through two VHS players for period grime.</x:v>
      </x:c>
      <x:c r="AG836" s="9" t="str">
        <x:v>Digital only; vinyl soundtrack (verify)</x:v>
      </x:c>
      <x:c r="AH836" s="9" t="str">
        <x:v>Yes (Steam, GOG (verify), iOS, Android)</x:v>
      </x:c>
      <x:c r="AI836" s="9" t="str">
        <x:v>Easy</x:v>
      </x:c>
      <x:c r="AJ836" s="9" t="str">
        <x:v>Steam (Windows, macOS); iOS App Store and Google Play.</x:v>
      </x:c>
      <x:c r="AK836" s="9" t="str">
        <x:v>Metacritic PC 86 via Wikipedia (review count not given); about 60,000 Windows copies by Aug 2015. Sequel Telling Lies (2019) and spiritual successor Immortality (2022) get their own ids. Digital-only release, no PriceCharting listing.</x:v>
      </x:c>
      <x:c r="AL836" s="10"/>
      <x:c r="AM836" s="10"/>
      <x:c r="AN836" s="10"/>
      <x:c r="AO836" s="9"/>
      <x:c r="AP836" s="11" t="str">
        <x:f>HYPERLINK("https://www.pricecharting.com/search-products?q=Her+Story+pc+games&amp;type=prices","PriceCharting")</x:f>
        <x:v>PriceCharting</x:v>
      </x:c>
      <x:c r="AQ836" s="9" t="n">
        <x:v>4.99</x:v>
      </x:c>
      <x:c r="AR836" s="11" t="str">
        <x:v>GOG</x:v>
      </x:c>
      <x:c r="AS836" s="9" t="str">
        <x:f>HYPERLINK("https://www.gog.com/en/game/her_story","Store")</x:f>
        <x:v>Store</x:v>
      </x:c>
      <x:c r="AT836" s="9" t="str">
        <x:v>2026-10-24</x:v>
      </x:c>
      <x:c r="AU836" s="9"/>
      <x:c r="AV836" s="9"/>
      <x:c r="AW836" s="9"/>
      <x:c r="AX836" s="9"/>
      <x:c r="AY836" s="9" t="str">
        <x:v>85%</x:v>
      </x:c>
      <x:c r="AZ836" s="9" t="str">
        <x:v>3.8</x:v>
      </x:c>
      <x:c r="BA836" s="11" t="str">
        <x:f>HYPERLINK("https://www.mobygames.com/game/windows/her-story","MobyGames")</x:f>
        <x:v>MobyGames</x:v>
      </x:c>
      <x:c r="BB836" s="9" t="str">
        <x:v>86%</x:v>
      </x:c>
      <x:c r="BC836" s="9" t="str">
        <x:v>Metacritic (PC), via Wikipedia; review count not given</x:v>
      </x:c>
      <x:c r="BD836" s="9" t="str">
        <x:f>HYPERLINK("https://www.metacritic.com/game/her-story/","Source")</x:f>
        <x:v>Source</x:v>
      </x:c>
      <x:c r="BE836" s="11" t="str">
        <x:f>HYPERLINK("https://en.wikipedia.org/wiki/Her_Story_(video_game)","Wikipedia")</x:f>
        <x:v>Wikipedia</x:v>
      </x:c>
      <x:c r="BF836" s="11" t="str">
        <x:f>HYPERLINK("https://backloggd.com/search/games/Her%20Story/","Backloggd")</x:f>
        <x:v>Backloggd</x:v>
      </x:c>
      <x:c r="BG836" s="9"/>
      <x:c r="BH836" s="9"/>
      <x:c r="BI836" s="12" t="str">
        <x:v>No</x:v>
      </x:c>
      <x:c r="BJ836" s="12" t="str"/>
      <x:c r="BK836" s="12" t="str">
        <x:v>No</x:v>
      </x:c>
      <x:c r="BL836" s="12" t="str"/>
      <x:c r="BM836" s="12" t="str"/>
      <x:c r="BN836" s="12" t="str"/>
      <x:c r="BO836" s="12" t="str"/>
      <x:c r="BP836" s="12" t="str"/>
      <x:c r="BQ836" s="12" t="str"/>
    </x:row>
    <x:row r="837">
      <x:c r="A837" s="9" t="str">
        <x:v>pc-190</x:v>
      </x:c>
      <x:c r="B837" s="9" t="str">
        <x:v>contradiction-spot-the-liar</x:v>
      </x:c>
      <x:c r="C837" s="9" t="str">
        <x:v>PC</x:v>
      </x:c>
      <x:c r="D837" s="9" t="str">
        <x:v>Contradiction: Spot the Liar!</x:v>
      </x:c>
      <x:c r="E837" s="9" t="str"/>
      <x:c r="F837" s="9" t="str">
        <x:v>Baggy Cat (Tim Follin)</x:v>
      </x:c>
      <x:c r="G837" s="9" t="str">
        <x:v>Baggy Cat</x:v>
      </x:c>
      <x:c r="H837" s="9" t="n">
        <x:v>2015</x:v>
      </x:c>
      <x:c r="I837" s="9" t="str">
        <x:v>Yes</x:v>
      </x:c>
      <x:c r="J837" s="9" t="str">
        <x:v>No</x:v>
      </x:c>
      <x:c r="K837" s="9" t="str">
        <x:v>Yes</x:v>
      </x:c>
      <x:c r="L837" s="9" t="str">
        <x:v>No</x:v>
      </x:c>
      <x:c r="M837" s="9" t="str">
        <x:v>FMV murder mystery</x:v>
      </x:c>
      <x:c r="N837" s="9" t="str">
        <x:v>Live-action</x:v>
      </x:c>
      <x:c r="O837" s="9" t="n">
        <x:v>9</x:v>
      </x:c>
      <x:c r="P837" s="9" t="str">
        <x:v>FMV adventure</x:v>
      </x:c>
      <x:c r="Q837" s="9" t="str">
        <x:v>Released</x:v>
      </x:c>
      <x:c r="R837" s="9" t="str">
        <x:v>iPad original (Jan 2015)</x:v>
      </x:c>
      <x:c r="S837" s="9" t="str">
        <x:v>iOS, macOS, Amazon Fire TV (2017)</x:v>
      </x:c>
      <x:c r="T837" s="9" t="str">
        <x:v>Rupert Booth (DI Frederick Jenks), Paul Darrow (Paul Rand), Yvonne West (Kate Vine), Melanie Gray (Rebecca Rand), John Guilor (Ryan Rand)</x:v>
      </x:c>
      <x:c r="U837" s="9" t="n">
        <x:v>0</x:v>
      </x:c>
      <x:c r="V837" s="9" t="str">
        <x:v>Yes</x:v>
      </x:c>
      <x:c r="W837" s="9" t="str">
        <x:v>Windows, low spec (verify); also macOS</x:v>
      </x:c>
      <x:c r="X837" s="9" t="str">
        <x:v>Low</x:v>
      </x:c>
      <x:c r="Y837" s="9" t="str"/>
      <x:c r="Z837" s="9" t="str">
        <x:v>4–6 hr</x:v>
      </x:c>
      <x:c r="AA837" s="9" t="str">
        <x:v>Blake's 7's Paul Darrow and a gloriously earnest village cast lie to your face until you match the contradictions.</x:v>
      </x:c>
      <x:c r="AB837" s="9" t="str">
        <x:v>None known</x:v>
      </x:c>
      <x:c r="AC837" s="9" t="str">
        <x:v>Live-action interviews and scenes filmed in Great Budworth, Cheshire; navigation over stills, all dialogue on video</x:v>
      </x:c>
      <x:c r="AD837" s="9" t="str">
        <x:v>Moderate; hint system and phone calls to the police chief help</x:v>
      </x:c>
      <x:c r="AE837" s="9" t="str">
        <x:v>Single solution (verify)</x:v>
      </x:c>
      <x:c r="AF837" s="9" t="str">
        <x:v>Made by chiptune composer Tim Follin on a £6,000 budget; filmed in 11 days with no sound recordist, so noise was cleaned up afterwards.</x:v>
      </x:c>
      <x:c r="AG837" s="9" t="str">
        <x:v>Digital only</x:v>
      </x:c>
      <x:c r="AH837" s="9" t="str">
        <x:v>Yes (Steam; iOS)</x:v>
      </x:c>
      <x:c r="AI837" s="9" t="str">
        <x:v>Easy</x:v>
      </x:c>
      <x:c r="AJ837" s="9" t="str">
        <x:v>Steam (Windows, macOS); iOS App Store.</x:v>
      </x:c>
      <x:c r="AK837" s="9" t="str">
        <x:v>First released on iOS (iPad) 14 Jan 2015; Windows and macOS on Steam 10 Jul 2015. Metacritic 72 from 4 reviews per Wikipedia (platform not stated, verify). Digital-only release, no PriceCharting listing.</x:v>
      </x:c>
      <x:c r="AL837" s="10"/>
      <x:c r="AM837" s="10"/>
      <x:c r="AN837" s="10"/>
      <x:c r="AO837" s="9"/>
      <x:c r="AP837" s="11" t="str">
        <x:f>HYPERLINK("https://www.pricecharting.com/search-products?q=Contradiction%3A+Spot+the+Liar%21+pc+games&amp;type=prices","PriceCharting")</x:f>
        <x:v>PriceCharting</x:v>
      </x:c>
      <x:c r="AQ837" s="9" t="n">
        <x:v>12.99</x:v>
      </x:c>
      <x:c r="AR837" s="11" t="str">
        <x:v>Steam</x:v>
      </x:c>
      <x:c r="AS837" s="9" t="str">
        <x:f>HYPERLINK("https://store.steampowered.com/app/373390/","Store")</x:f>
        <x:v>Store</x:v>
      </x:c>
      <x:c r="AT837" s="9" t="str">
        <x:v>2026-10-24</x:v>
      </x:c>
      <x:c r="AU837" s="9"/>
      <x:c r="AV837" s="9"/>
      <x:c r="AW837" s="9"/>
      <x:c r="AX837" s="9"/>
      <x:c r="AY837" s="9"/>
      <x:c r="AZ837" s="9"/>
      <x:c r="BA837" s="11" t="str">
        <x:f>HYPERLINK("https://www.mobygames.com/search/?q=Contradiction%3A+Spot+the+Liar%21","MobyGames")</x:f>
        <x:v>MobyGames</x:v>
      </x:c>
      <x:c r="BB837" s="9" t="str">
        <x:v>72%</x:v>
      </x:c>
      <x:c r="BC837" s="9" t="str">
        <x:v>Metacritic, 4 reviews, via Wikipedia (platform verify)</x:v>
      </x:c>
      <x:c r="BD837" s="9" t="str">
        <x:f>HYPERLINK("https://www.metacritic.com/game/contradiction-spot-the-liar/","Source")</x:f>
        <x:v>Source</x:v>
      </x:c>
      <x:c r="BE837" s="11" t="str">
        <x:f>HYPERLINK("https://en.wikipedia.org/wiki/Contradiction:_Spot_the_Liar!","Wikipedia")</x:f>
        <x:v>Wikipedia</x:v>
      </x:c>
      <x:c r="BF837" s="11" t="str">
        <x:f>HYPERLINK("https://backloggd.com/search/games/Contradiction%3A%20Spot%20the%20Liar%21/","Backloggd")</x:f>
        <x:v>Backloggd</x:v>
      </x:c>
      <x:c r="BG837" s="9"/>
      <x:c r="BH837" s="9"/>
      <x:c r="BI837" s="12" t="str">
        <x:v>No</x:v>
      </x:c>
      <x:c r="BJ837" s="12" t="str"/>
      <x:c r="BK837" s="12" t="str">
        <x:v>No</x:v>
      </x:c>
      <x:c r="BL837" s="12" t="str"/>
      <x:c r="BM837" s="12" t="str"/>
      <x:c r="BN837" s="12" t="str"/>
      <x:c r="BO837" s="12" t="str"/>
      <x:c r="BP837" s="12" t="str"/>
      <x:c r="BQ837" s="12" t="str"/>
    </x:row>
    <x:row r="838">
      <x:c r="A838" s="9" t="str">
        <x:v>pc-191</x:v>
      </x:c>
      <x:c r="B838" s="9" t="str">
        <x:v>press-x-to-not-die</x:v>
      </x:c>
      <x:c r="C838" s="9" t="str">
        <x:v>PC</x:v>
      </x:c>
      <x:c r="D838" s="9" t="str">
        <x:v>Press X to Not Die</x:v>
      </x:c>
      <x:c r="E838" s="9" t="str"/>
      <x:c r="F838" s="9" t="str">
        <x:v>All Seeing Eye Games</x:v>
      </x:c>
      <x:c r="G838" s="9" t="str">
        <x:v>All Seeing Eye Games</x:v>
      </x:c>
      <x:c r="H838" s="9" t="n">
        <x:v>2015</x:v>
      </x:c>
      <x:c r="I838" s="9" t="str">
        <x:v>Yes</x:v>
      </x:c>
      <x:c r="J838" s="9" t="str">
        <x:v>No</x:v>
      </x:c>
      <x:c r="K838" s="9" t="str">
        <x:v>Yes</x:v>
      </x:c>
      <x:c r="L838" s="9" t="str">
        <x:v>No</x:v>
      </x:c>
      <x:c r="M838" s="9" t="str">
        <x:v>FMV action comedy / horror</x:v>
      </x:c>
      <x:c r="N838" s="9" t="str">
        <x:v>Live-action</x:v>
      </x:c>
      <x:c r="O838" s="9" t="n">
        <x:v>10</x:v>
      </x:c>
      <x:c r="P838" s="9" t="str">
        <x:v>Interactive movie</x:v>
      </x:c>
      <x:c r="Q838" s="9" t="str">
        <x:v>Released</x:v>
      </x:c>
      <x:c r="R838" s="9" t="str">
        <x:v>Xbox Live Indie Games original</x:v>
      </x:c>
      <x:c r="S838" s="9" t="str">
        <x:v>Xbox 360 (XBLIG), macOS, Linux</x:v>
      </x:c>
      <x:c r="T838" s="9" t="str">
        <x:v>Unknown — verify</x:v>
      </x:c>
      <x:c r="U838" s="9" t="n">
        <x:v>0</x:v>
      </x:c>
      <x:c r="V838" s="9" t="str">
        <x:v>Yes</x:v>
      </x:c>
      <x:c r="W838" s="9" t="str">
        <x:v>Win XP+, dual core, 512 MB RAM, DirectX 9.0c, 3 GB; keyboard/mouse or Xbox 360 pad; also macOS, Linux</x:v>
      </x:c>
      <x:c r="X838" s="9" t="str">
        <x:v>Low</x:v>
      </x:c>
      <x:c r="Y838" s="9" t="str"/>
      <x:c r="Z838" s="9" t="str">
        <x:v>1–2 hr</x:v>
      </x:c>
      <x:c r="AA838" s="9" t="str">
        <x:v>A self-aware zombie-apocalypse QTE movie with 29 ways to die and a '1994 mode' that fakes 90s FMV grain.</x:v>
      </x:c>
      <x:c r="AB838" s="9" t="str">
        <x:v>None known</x:v>
      </x:c>
      <x:c r="AC838" s="9" t="str">
        <x:v>Live-action branching video with quick-time prompts and dialogue choices; optional 1994 low-quality filter</x:v>
      </x:c>
      <x:c r="AD838" s="9" t="str">
        <x:v>Several difficulty levels; QTE failures are the point</x:v>
      </x:c>
      <x:c r="AE838" s="9" t="str">
        <x:v>Branching storyline with multiple outcomes; 29 death scenes (ending count verify)</x:v>
      </x:c>
      <x:c r="AF838" s="9" t="str">
        <x:v>Came up through Xbox Live Indie Games and Steam Greenlight; Steam Early Access in 2015 before the full release on 6 Oct 2017.</x:v>
      </x:c>
      <x:c r="AG838" s="9" t="str">
        <x:v>Special Edition content (verify)</x:v>
      </x:c>
      <x:c r="AH838" s="9" t="str">
        <x:v>Yes (Steam, itch.io)</x:v>
      </x:c>
      <x:c r="AI838" s="9" t="str">
        <x:v>Easy</x:v>
      </x:c>
      <x:c r="AJ838" s="9" t="str">
        <x:v>Steam and itch.io (Windows, macOS, Linux).</x:v>
      </x:c>
      <x:c r="AK838" s="9" t="str">
        <x:v>First on Xbox Live Indie Games (year verify); Steam Early Access Aug 2015, full release Oct 2017. No critic aggregate found; Steam users 89% positive of about 1,270 reviews. Digital-only release, no PriceCharting listing.</x:v>
      </x:c>
      <x:c r="AL838" s="10"/>
      <x:c r="AM838" s="10"/>
      <x:c r="AN838" s="10"/>
      <x:c r="AO838" s="9"/>
      <x:c r="AP838" s="11" t="str">
        <x:f>HYPERLINK("https://www.pricecharting.com/search-products?q=Press+X+to+Not+Die+pc+games&amp;type=prices","PriceCharting")</x:f>
        <x:v>PriceCharting</x:v>
      </x:c>
      <x:c r="AQ838" s="9" t="n">
        <x:v>2.99</x:v>
      </x:c>
      <x:c r="AR838" s="11" t="str">
        <x:v>Steam</x:v>
      </x:c>
      <x:c r="AS838" s="9" t="str">
        <x:f>HYPERLINK("https://store.steampowered.com/app/402330/","Store")</x:f>
        <x:v>Store</x:v>
      </x:c>
      <x:c r="AT838" s="9" t="str">
        <x:v>2026-10-24</x:v>
      </x:c>
      <x:c r="AU838" s="9"/>
      <x:c r="AV838" s="9"/>
      <x:c r="AW838" s="9"/>
      <x:c r="AX838" s="9"/>
      <x:c r="AY838" s="9"/>
      <x:c r="AZ838" s="9"/>
      <x:c r="BA838" s="11" t="str">
        <x:f>HYPERLINK("https://www.mobygames.com/search/?q=Press+X+to+Not+Die","MobyGames")</x:f>
        <x:v>MobyGames</x:v>
      </x:c>
      <x:c r="BB838" s="9" t="str">
        <x:v>80%</x:v>
      </x:c>
      <x:c r="BC838" s="9" t="str">
        <x:v>GameRankings, 2 reviews</x:v>
      </x:c>
      <x:c r="BD838" s="9" t="str">
        <x:f>HYPERLINK("https://web.archive.org/web/20191209014707id_/https://www.gamerankings.com/pc/181889-press-x-to-not-die/","Source")</x:f>
        <x:v>Source</x:v>
      </x:c>
      <x:c r="BE838" s="9"/>
      <x:c r="BF838" s="11" t="str">
        <x:f>HYPERLINK("https://backloggd.com/search/games/Press%20X%20to%20Not%20Die/","Backloggd")</x:f>
        <x:v>Backloggd</x:v>
      </x:c>
      <x:c r="BG838" s="9"/>
      <x:c r="BH838" s="9"/>
      <x:c r="BI838" s="12" t="str">
        <x:v>No</x:v>
      </x:c>
      <x:c r="BJ838" s="12" t="str"/>
      <x:c r="BK838" s="12" t="str">
        <x:v>No</x:v>
      </x:c>
      <x:c r="BL838" s="12" t="str"/>
      <x:c r="BM838" s="12" t="str"/>
      <x:c r="BN838" s="12" t="str"/>
      <x:c r="BO838" s="12" t="str"/>
      <x:c r="BP838" s="12" t="str"/>
      <x:c r="BQ838" s="12" t="str"/>
    </x:row>
    <x:row r="839">
      <x:c r="A839" s="9" t="str">
        <x:v>pc-192</x:v>
      </x:c>
      <x:c r="B839" s="9" t="str">
        <x:v>missing-an-interactive-thriller-episode-one</x:v>
      </x:c>
      <x:c r="C839" s="9" t="str">
        <x:v>PC</x:v>
      </x:c>
      <x:c r="D839" s="9" t="str">
        <x:v>Missing: An Interactive Thriller – Episode One</x:v>
      </x:c>
      <x:c r="E839" s="9" t="str">
        <x:v>MISSING: An Interactive Thriller</x:v>
      </x:c>
      <x:c r="F839" s="9" t="str">
        <x:v>Zandel Media</x:v>
      </x:c>
      <x:c r="G839" s="9" t="str">
        <x:v>Zandel Media</x:v>
      </x:c>
      <x:c r="H839" s="9" t="n">
        <x:v>2015</x:v>
      </x:c>
      <x:c r="I839" s="9" t="str">
        <x:v>Yes</x:v>
      </x:c>
      <x:c r="J839" s="9" t="str">
        <x:v>No</x:v>
      </x:c>
      <x:c r="K839" s="9" t="str">
        <x:v>Yes</x:v>
      </x:c>
      <x:c r="L839" s="9" t="str">
        <x:v>No</x:v>
      </x:c>
      <x:c r="M839" s="9" t="str">
        <x:v>FMV point-and-click thriller</x:v>
      </x:c>
      <x:c r="N839" s="9" t="str">
        <x:v>Live-action</x:v>
      </x:c>
      <x:c r="O839" s="9" t="n">
        <x:v>8</x:v>
      </x:c>
      <x:c r="P839" s="9" t="str">
        <x:v>FMV adventure</x:v>
      </x:c>
      <x:c r="Q839" s="9" t="str">
        <x:v>Released</x:v>
      </x:c>
      <x:c r="R839" s="9" t="str">
        <x:v>Mobile original (Dec 2014)</x:v>
      </x:c>
      <x:c r="S839" s="9" t="str">
        <x:v>iOS, Android, macOS</x:v>
      </x:c>
      <x:c r="T839" s="9" t="str">
        <x:v>Unknown — verify (characters: David Newcastle, Detective Sam Lambert)</x:v>
      </x:c>
      <x:c r="U839" s="9" t="n">
        <x:v>0</x:v>
      </x:c>
      <x:c r="V839" s="9" t="str">
        <x:v>Yes</x:v>
      </x:c>
      <x:c r="W839" s="9" t="str">
        <x:v>Windows (verify spec); also macOS</x:v>
      </x:c>
      <x:c r="X839" s="9" t="str">
        <x:v>Low</x:v>
      </x:c>
      <x:c r="Y839" s="9" t="str"/>
      <x:c r="Z839" s="9" t="str">
        <x:v>1–2 hr</x:v>
      </x:c>
      <x:c r="AA839" s="9" t="str">
        <x:v>A Saw-style escape room in live action: chained in a basement, solve the captor's puzzles in a Canadian indie thriller that never got its Episode Two.</x:v>
      </x:c>
      <x:c r="AB839" s="9" t="str">
        <x:v>None known</x:v>
      </x:c>
      <x:c r="AC839" s="9" t="str">
        <x:v>Live-action scenes with point-and-click hotspots, inventory puzzles and quick-time/direction choices</x:v>
      </x:c>
      <x:c r="AD839" s="9" t="str">
        <x:v>Easy to moderate puzzles; QTEs barely change the outcome</x:v>
      </x:c>
      <x:c r="AE839" s="9" t="str">
        <x:v>One ending with a cliffhanger teaser for an episode that was never made</x:v>
      </x:c>
      <x:c r="AF839" s="9" t="str">
        <x:v>Zandel cancelled the series a year after the Steam launch because sales were too weak, and pulled the game from sale.</x:v>
      </x:c>
      <x:c r="AG839" s="9" t="str">
        <x:v>Digital only</x:v>
      </x:c>
      <x:c r="AH839" s="9" t="str">
        <x:v>No (delisted from Steam and mobile stores, verify mobile)</x:v>
      </x:c>
      <x:c r="AI839" s="9" t="str">
        <x:v>Lost</x:v>
      </x:c>
      <x:c r="AJ839" s="9" t="str">
        <x:v>Delisted; only existing Steam owners can download it.</x:v>
      </x:c>
      <x:c r="AK839" s="9" t="str">
        <x:v>First on smartphones 3 Dec 2014; Steam 25 May 2015. Delisted; owners can still download from Steam. Planned episodes never released. No critic aggregate found. Digital-only release, no PriceCharting listing.</x:v>
      </x:c>
      <x:c r="AL839" s="10"/>
      <x:c r="AM839" s="10"/>
      <x:c r="AN839" s="10"/>
      <x:c r="AO839" s="9"/>
      <x:c r="AP839" s="11" t="str">
        <x:f>HYPERLINK("https://www.pricecharting.com/search-products?q=Missing%3A+An+Interactive+Thriller+%E2%80%93+Episode+One+pc+games&amp;type=prices","PriceCharting")</x:f>
        <x:v>PriceCharting</x:v>
      </x:c>
      <x:c r="AQ839" s="9"/>
      <x:c r="AR839" s="9"/>
      <x:c r="AS839" s="9"/>
      <x:c r="AT839" s="9"/>
      <x:c r="AU839" s="9" t="str">
        <x:v>No market</x:v>
      </x:c>
      <x:c r="AV839" s="9" t="str">
        <x:v>Not sold on Steam or GOG (checked 2026-10-25) and no PriceCharting listing.</x:v>
      </x:c>
      <x:c r="AW839" s="9"/>
      <x:c r="AX839" s="9"/>
      <x:c r="AY839" s="9" t="str">
        <x:v>73%</x:v>
      </x:c>
      <x:c r="AZ839" s="9"/>
      <x:c r="BA839" s="11" t="str">
        <x:f>HYPERLINK("https://www.mobygames.com/game/windows/missing","MobyGames")</x:f>
        <x:v>MobyGames</x:v>
      </x:c>
      <x:c r="BB839" s="9" t="str"/>
      <x:c r="BC839" s="9" t="str"/>
      <x:c r="BD839" s="9"/>
      <x:c r="BE839" s="9"/>
      <x:c r="BF839" s="11" t="str">
        <x:f>HYPERLINK("https://backloggd.com/search/games/Missing%3A%20An%20Interactive%20Thriller%20%E2%80%93%20Episode%20One/","Backloggd")</x:f>
        <x:v>Backloggd</x:v>
      </x:c>
      <x:c r="BG839" s="9"/>
      <x:c r="BH839" s="9"/>
      <x:c r="BI839" s="12" t="str">
        <x:v>No</x:v>
      </x:c>
      <x:c r="BJ839" s="12" t="str"/>
      <x:c r="BK839" s="12" t="str">
        <x:v>No</x:v>
      </x:c>
      <x:c r="BL839" s="12" t="str"/>
      <x:c r="BM839" s="12" t="str"/>
      <x:c r="BN839" s="12" t="str"/>
      <x:c r="BO839" s="12" t="str"/>
      <x:c r="BP839" s="12" t="str"/>
      <x:c r="BQ839" s="12" t="str"/>
    </x:row>
    <x:row r="840">
      <x:c r="A840" s="9" t="str">
        <x:v>pc-193</x:v>
      </x:c>
      <x:c r="B840" s="9" t="str">
        <x:v>late-shift</x:v>
      </x:c>
      <x:c r="C840" s="9" t="str">
        <x:v>PC</x:v>
      </x:c>
      <x:c r="D840" s="9" t="str">
        <x:v>Late Shift</x:v>
      </x:c>
      <x:c r="E840" s="9" t="str"/>
      <x:c r="F840" s="9" t="str">
        <x:v>CtrlMovie</x:v>
      </x:c>
      <x:c r="G840" s="9" t="str">
        <x:v>Wales Interactive</x:v>
      </x:c>
      <x:c r="H840" s="9" t="n">
        <x:v>2017</x:v>
      </x:c>
      <x:c r="I840" s="9" t="str">
        <x:v>Yes</x:v>
      </x:c>
      <x:c r="J840" s="9" t="str">
        <x:v>No</x:v>
      </x:c>
      <x:c r="K840" s="9" t="str">
        <x:v>Yes</x:v>
      </x:c>
      <x:c r="L840" s="9" t="str">
        <x:v>No</x:v>
      </x:c>
      <x:c r="M840" s="9" t="str">
        <x:v>Interactive movie (heist thriller)</x:v>
      </x:c>
      <x:c r="N840" s="9" t="str">
        <x:v>Live-action</x:v>
      </x:c>
      <x:c r="O840" s="9" t="n">
        <x:v>10</x:v>
      </x:c>
      <x:c r="P840" s="9" t="str">
        <x:v>Interactive movie</x:v>
      </x:c>
      <x:c r="Q840" s="9" t="str">
        <x:v>Released</x:v>
      </x:c>
      <x:c r="R840" s="9" t="str">
        <x:v>Original production (also screened at film festivals)</x:v>
      </x:c>
      <x:c r="S840" s="9" t="str">
        <x:v>macOS, PS4, Xbox One (same day), Switch (2018), iOS</x:v>
      </x:c>
      <x:c r="T840" s="9" t="str">
        <x:v>Joe Sowerbutts (Matt Thompson), Haruka Abe (May-Ling), Richard Durden (Samuel Parr), Lily Travers (Élodie), Joel Basman (Sébastien)</x:v>
      </x:c>
      <x:c r="U840" s="9" t="n">
        <x:v>0</x:v>
      </x:c>
      <x:c r="V840" s="9" t="str">
        <x:v>Yes</x:v>
      </x:c>
      <x:c r="W840" s="9" t="str">
        <x:v>Win 7, 4 GB RAM, DirectX 11 (verify); also macOS</x:v>
      </x:c>
      <x:c r="X840" s="9" t="str">
        <x:v>Low</x:v>
      </x:c>
      <x:c r="Y840" s="9" t="str"/>
      <x:c r="Z840" s="9" t="str">
        <x:v>1.5 hr per run</x:v>
      </x:c>
      <x:c r="AA840" s="9" t="str">
        <x:v>A London heist movie that never pauses: 180 real-time choices and seven endings, and it played film festivals.</x:v>
      </x:c>
      <x:c r="AB840" s="9" t="str">
        <x:v>None known</x:v>
      </x:c>
      <x:c r="AC840" s="9" t="str">
        <x:v>1080p live-action film; real-time branching choices with no pause (verify fps)</x:v>
      </x:c>
      <x:c r="AD840" s="9" t="str">
        <x:v>No fail state beyond bad endings; choices are timed</x:v>
      </x:c>
      <x:c r="AE840" s="9" t="str">
        <x:v>7 endings</x:v>
      </x:c>
      <x:c r="AF840" s="9" t="str">
        <x:v>Directed by Tobias Weber; screened at the New York Film Festival and Raindance, and the Sunday Times called it 'the most important film of the year'.</x:v>
      </x:c>
      <x:c r="AG840" s="9" t="str">
        <x:v>PS4/Switch physical editions (verify)</x:v>
      </x:c>
      <x:c r="AH840" s="9" t="str">
        <x:v>Yes (Steam, GOG (verify); PS4, Xbox One, Switch)</x:v>
      </x:c>
      <x:c r="AI840" s="9" t="str">
        <x:v>Easy</x:v>
      </x:c>
      <x:c r="AJ840" s="9" t="str">
        <x:v>Steam (Windows, macOS); PS4, Xbox One, Switch stores.</x:v>
      </x:c>
      <x:c r="AK840" s="9" t="str">
        <x:v>Metacritic PC 79 via Wikipedia (review count not given). Won BAFTA Cymru Best Game. Digital-only release, no PriceCharting listing.</x:v>
      </x:c>
      <x:c r="AL840" s="10"/>
      <x:c r="AM840" s="10"/>
      <x:c r="AN840" s="10"/>
      <x:c r="AO840" s="9"/>
      <x:c r="AP840" s="11" t="str">
        <x:f>HYPERLINK("https://www.pricecharting.com/search-products?q=Late+Shift+pc+games&amp;type=prices","PriceCharting")</x:f>
        <x:v>PriceCharting</x:v>
      </x:c>
      <x:c r="AQ840" s="9" t="n">
        <x:v>3.09</x:v>
      </x:c>
      <x:c r="AR840" s="11" t="str">
        <x:v>GOG</x:v>
      </x:c>
      <x:c r="AS840" s="9" t="str">
        <x:f>HYPERLINK("https://www.gog.com/en/game/late_shift","Store")</x:f>
        <x:v>Store</x:v>
      </x:c>
      <x:c r="AT840" s="9" t="str">
        <x:v>2026-10-24</x:v>
      </x:c>
      <x:c r="AU840" s="9"/>
      <x:c r="AV840" s="9"/>
      <x:c r="AW840" s="9"/>
      <x:c r="AX840" s="9"/>
      <x:c r="AY840" s="9"/>
      <x:c r="AZ840" s="9"/>
      <x:c r="BA840" s="11" t="str">
        <x:f>HYPERLINK("https://www.mobygames.com/search/?q=Late+Shift","MobyGames")</x:f>
        <x:v>MobyGames</x:v>
      </x:c>
      <x:c r="BB840" s="9" t="str">
        <x:v>79%</x:v>
      </x:c>
      <x:c r="BC840" s="9" t="str">
        <x:v>Metacritic (PC), via Wikipedia; review count not given</x:v>
      </x:c>
      <x:c r="BD840" s="9" t="str">
        <x:f>HYPERLINK("https://www.metacritic.com/game/late-shift/","Source")</x:f>
        <x:v>Source</x:v>
      </x:c>
      <x:c r="BE840" s="11" t="str">
        <x:f>HYPERLINK("https://en.wikipedia.org/wiki/Late_Shift_(video_game)","Wikipedia")</x:f>
        <x:v>Wikipedia</x:v>
      </x:c>
      <x:c r="BF840" s="11" t="str">
        <x:f>HYPERLINK("https://backloggd.com/search/games/Late%20Shift/","Backloggd")</x:f>
        <x:v>Backloggd</x:v>
      </x:c>
      <x:c r="BG840" s="9"/>
      <x:c r="BH840" s="9"/>
      <x:c r="BI840" s="12" t="str">
        <x:v>No</x:v>
      </x:c>
      <x:c r="BJ840" s="12" t="str"/>
      <x:c r="BK840" s="12" t="str">
        <x:v>No</x:v>
      </x:c>
      <x:c r="BL840" s="12" t="str"/>
      <x:c r="BM840" s="12" t="str"/>
      <x:c r="BN840" s="12" t="str"/>
      <x:c r="BO840" s="12" t="str"/>
      <x:c r="BP840" s="12" t="str"/>
      <x:c r="BQ840" s="12" t="str"/>
    </x:row>
    <x:row r="841">
      <x:c r="A841" s="9" t="str">
        <x:v>pc-194</x:v>
      </x:c>
      <x:c r="B841" s="9" t="str">
        <x:v>the-bunker</x:v>
      </x:c>
      <x:c r="C841" s="9" t="str">
        <x:v>PC</x:v>
      </x:c>
      <x:c r="D841" s="9" t="str">
        <x:v>The Bunker</x:v>
      </x:c>
      <x:c r="E841" s="9" t="str"/>
      <x:c r="F841" s="9" t="str">
        <x:v>Splendy Games</x:v>
      </x:c>
      <x:c r="G841" s="9" t="str">
        <x:v>Wales Interactive</x:v>
      </x:c>
      <x:c r="H841" s="9" t="n">
        <x:v>2016</x:v>
      </x:c>
      <x:c r="I841" s="9" t="str">
        <x:v>Yes</x:v>
      </x:c>
      <x:c r="J841" s="9" t="str">
        <x:v>No</x:v>
      </x:c>
      <x:c r="K841" s="9" t="str">
        <x:v>Yes</x:v>
      </x:c>
      <x:c r="L841" s="9" t="str">
        <x:v>No</x:v>
      </x:c>
      <x:c r="M841" s="9" t="str">
        <x:v>Interactive movie (horror)</x:v>
      </x:c>
      <x:c r="N841" s="9" t="str">
        <x:v>Live-action</x:v>
      </x:c>
      <x:c r="O841" s="9" t="n">
        <x:v>10</x:v>
      </x:c>
      <x:c r="P841" s="9" t="str">
        <x:v>Interactive movie</x:v>
      </x:c>
      <x:c r="Q841" s="9" t="str">
        <x:v>Released</x:v>
      </x:c>
      <x:c r="R841" s="9" t="str">
        <x:v>Original production</x:v>
      </x:c>
      <x:c r="S841" s="9" t="str">
        <x:v>macOS, PlayStation 4, Xbox One, Nintendo Switch</x:v>
      </x:c>
      <x:c r="T841" s="9" t="str">
        <x:v>Adam Brown (John), Sarah Greene (John's mother, verify), Grahame Fox, Jerome St. John Blake (roles verify)</x:v>
      </x:c>
      <x:c r="U841" s="9" t="n">
        <x:v>0</x:v>
      </x:c>
      <x:c r="V841" s="9" t="str">
        <x:v>Yes</x:v>
      </x:c>
      <x:c r="W841" s="9" t="str">
        <x:v>Win 7, 4 GB RAM, DirectX 11 (verify); also macOS</x:v>
      </x:c>
      <x:c r="X841" s="9" t="str">
        <x:v>Low</x:v>
      </x:c>
      <x:c r="Y841" s="9" t="str"/>
      <x:c r="Z841" s="9" t="str">
        <x:v>1.5–2 hr</x:v>
      </x:c>
      <x:c r="AA841" s="9" t="str">
        <x:v>The Hobbit's Adam Brown alone in a real Cold War nuclear bunker, filmed in the actual Kelvedon Hatch.</x:v>
      </x:c>
      <x:c r="AB841" s="9" t="str">
        <x:v>None known</x:v>
      </x:c>
      <x:c r="AC841" s="9" t="str">
        <x:v>1080p live action with point-and-click choices and QTEs (verify fps)</x:v>
      </x:c>
      <x:c r="AD841" s="9" t="str">
        <x:v>Easy; few fail states</x:v>
      </x:c>
      <x:c r="AE841" s="9" t="str">
        <x:v>Final choice gives two endings (stay or leave the bunker); collectibles fill in backstory</x:v>
      </x:c>
      <x:c r="AF841" s="9" t="str">
        <x:v>Shot over 15 days in the Kelvedon Hatch Secret Nuclear Bunker in Essex; writers came from The Witcher, Broken Sword and SOMA.</x:v>
      </x:c>
      <x:c r="AG841" s="9" t="str">
        <x:v>Console physical editions (verify)</x:v>
      </x:c>
      <x:c r="AH841" s="9" t="str">
        <x:v>Yes (Steam; PS4, Xbox One, Switch)</x:v>
      </x:c>
      <x:c r="AI841" s="9" t="str">
        <x:v>Easy</x:v>
      </x:c>
      <x:c r="AJ841" s="9" t="str">
        <x:v>Steam (Windows, macOS); PS4, Xbox One, Switch stores.</x:v>
      </x:c>
      <x:c r="AK841" s="9" t="str">
        <x:v>TIGA 2016 nominations (no wins). Digital-only release, no PriceCharting listing.</x:v>
      </x:c>
      <x:c r="AL841" s="10"/>
      <x:c r="AM841" s="10"/>
      <x:c r="AN841" s="10"/>
      <x:c r="AO841" s="9"/>
      <x:c r="AP841" s="11" t="str">
        <x:f>HYPERLINK("https://www.pricecharting.com/search-products?q=The+Bunker+pc+games&amp;type=prices","PriceCharting")</x:f>
        <x:v>PriceCharting</x:v>
      </x:c>
      <x:c r="AQ841" s="9" t="n">
        <x:v>14.99</x:v>
      </x:c>
      <x:c r="AR841" s="11" t="str">
        <x:v>Steam</x:v>
      </x:c>
      <x:c r="AS841" s="9" t="str">
        <x:f>HYPERLINK("https://store.steampowered.com/app/481110/","Store")</x:f>
        <x:v>Store</x:v>
      </x:c>
      <x:c r="AT841" s="9" t="str">
        <x:v>2026-10-24</x:v>
      </x:c>
      <x:c r="AU841" s="9"/>
      <x:c r="AV841" s="9"/>
      <x:c r="AW841" s="9"/>
      <x:c r="AX841" s="9"/>
      <x:c r="AY841" s="9"/>
      <x:c r="AZ841" s="9"/>
      <x:c r="BA841" s="11" t="str">
        <x:f>HYPERLINK("https://www.mobygames.com/search/?q=The+Bunker","MobyGames")</x:f>
        <x:v>MobyGames</x:v>
      </x:c>
      <x:c r="BB841" s="9" t="str">
        <x:v>57%</x:v>
      </x:c>
      <x:c r="BC841" s="9" t="str">
        <x:v>Metacritic (PC), 7 reviews</x:v>
      </x:c>
      <x:c r="BD841" s="9" t="str">
        <x:f>HYPERLINK("https://www.metacritic.com/game/the-bunker-2016/","Source")</x:f>
        <x:v>Source</x:v>
      </x:c>
      <x:c r="BE841" s="11" t="str">
        <x:f>HYPERLINK("https://en.wikipedia.org/wiki/The_Bunker_(video_game)","Wikipedia")</x:f>
        <x:v>Wikipedia</x:v>
      </x:c>
      <x:c r="BF841" s="11" t="str">
        <x:f>HYPERLINK("https://backloggd.com/search/games/The%20Bunker/","Backloggd")</x:f>
        <x:v>Backloggd</x:v>
      </x:c>
      <x:c r="BG841" s="9"/>
      <x:c r="BH841" s="9"/>
      <x:c r="BI841" s="12" t="str">
        <x:v>No</x:v>
      </x:c>
      <x:c r="BJ841" s="12" t="str"/>
      <x:c r="BK841" s="12" t="str">
        <x:v>No</x:v>
      </x:c>
      <x:c r="BL841" s="12" t="str"/>
      <x:c r="BM841" s="12" t="str"/>
      <x:c r="BN841" s="12" t="str"/>
      <x:c r="BO841" s="12" t="str"/>
      <x:c r="BP841" s="12" t="str"/>
      <x:c r="BQ841" s="12" t="str"/>
    </x:row>
    <x:row r="842">
      <x:c r="A842" s="9" t="str">
        <x:v>pc-195</x:v>
      </x:c>
      <x:c r="B842" s="9" t="str">
        <x:v>quantum-break</x:v>
      </x:c>
      <x:c r="C842" s="9" t="str">
        <x:v>PC</x:v>
      </x:c>
      <x:c r="D842" s="9" t="str">
        <x:v>Quantum Break</x:v>
      </x:c>
      <x:c r="E842" s="9" t="str"/>
      <x:c r="F842" s="9" t="str">
        <x:v>Remedy Entertainment</x:v>
      </x:c>
      <x:c r="G842" s="9" t="str">
        <x:v>Microsoft Studios</x:v>
      </x:c>
      <x:c r="H842" s="9" t="n">
        <x:v>2016</x:v>
      </x:c>
      <x:c r="I842" s="9" t="str">
        <x:v>Yes</x:v>
      </x:c>
      <x:c r="J842" s="9" t="str">
        <x:v>No</x:v>
      </x:c>
      <x:c r="K842" s="9" t="str">
        <x:v>Yes</x:v>
      </x:c>
      <x:c r="L842" s="9" t="str">
        <x:v>No</x:v>
      </x:c>
      <x:c r="M842" s="9" t="str">
        <x:v>Third-person shooter</x:v>
      </x:c>
      <x:c r="N842" s="9" t="str">
        <x:v>Live-action + CG</x:v>
      </x:c>
      <x:c r="O842" s="9" t="n">
        <x:v>4</x:v>
      </x:c>
      <x:c r="P842" s="9" t="str">
        <x:v>Cutscenes only</x:v>
      </x:c>
      <x:c r="Q842" s="9" t="str">
        <x:v>Released</x:v>
      </x:c>
      <x:c r="R842" s="9" t="str">
        <x:v>Xbox One / Windows 10 original (same day)</x:v>
      </x:c>
      <x:c r="S842" s="9" t="str">
        <x:v>Xbox One</x:v>
      </x:c>
      <x:c r="T842" s="9" t="str">
        <x:v>Shawn Ashmore (Jack Joyce), Aidan Gillen (Paul Serene), Lance Reddick (Martin Hatch), Dominic Monaghan (William Joyce), Courtney Hope (Beth Wilder), Patrick Heusinger (Liam Burke)</x:v>
      </x:c>
      <x:c r="U842" s="9" t="n">
        <x:v>0</x:v>
      </x:c>
      <x:c r="V842" s="9" t="str">
        <x:v>Yes</x:v>
      </x:c>
      <x:c r="W842" s="9" t="str">
        <x:v>Win 7 64-bit (Steam) / Win 10, 8 GB RAM, DirectX 11 GPU (verify exact spec)</x:v>
      </x:c>
      <x:c r="X842" s="9" t="str">
        <x:v>Med</x:v>
      </x:c>
      <x:c r="Y842" s="9" t="str">
        <x:v>Licensed songs; the game has an option to turn licensed music off for streamers</x:v>
      </x:c>
      <x:c r="Z842" s="9" t="str">
        <x:v>10–12 hr plus the show</x:v>
      </x:c>
      <x:c r="AA842" s="9" t="str">
        <x:v>A AAA shooter with a full live-action TV series bolted in: four episodes starring Aidan Gillen and Lance Reddick that change with your choices.</x:v>
      </x:c>
      <x:c r="AB842" s="9" t="str">
        <x:v>None known</x:v>
      </x:c>
      <x:c r="AC842" s="9" t="str">
        <x:v>Four live-action episodes (about 22 min each, verify) between acts, about 40 variations from junction choices; streamed on Windows 10, downloadable on Steam (verify)</x:v>
      </x:c>
      <x:c r="AD842" s="9" t="str">
        <x:v>Moderate; several difficulty levels</x:v>
      </x:c>
      <x:c r="AE842" s="9" t="str">
        <x:v>Junction choices change the show and story details; one main ending</x:v>
      </x:c>
      <x:c r="AF842" s="9" t="str">
        <x:v>The show was kept off the retail disc to save space; it references Remedy's own Alan Wake with an in-universe 'Alan Wake's Return'.</x:v>
      </x:c>
      <x:c r="AG842" s="9" t="str">
        <x:v>Windows 10 Store (Apr 2016); Steam and retail PC box (Sep 2016, verify Timeless Collector's Edition with Alan Wake); Xbox One retail</x:v>
      </x:c>
      <x:c r="AH842" s="9" t="str">
        <x:v>Yes (Steam, GOG (verify), Microsoft Store, Xbox Game Pass)</x:v>
      </x:c>
      <x:c r="AI842" s="9" t="str">
        <x:v>Easy</x:v>
      </x:c>
      <x:c r="AJ842" s="9" t="str">
        <x:v>Steam, Microsoft Store (Windows); Xbox One/Series via backward compatibility.</x:v>
      </x:c>
      <x:c r="AK842" s="9" t="str">
        <x:v>Windows 10 version launched 5 Apr 2016 with Xbox One; Steam 29 Sep 2016. The game itself is 3D; the live-action show is roughly an hour and a half of a 10+ hour game, so fmv 3. PriceCharting not checked: the shared WebFetch budget ran out; price null (re-run price pull if a PC retail box exists).</x:v>
      </x:c>
      <x:c r="AL842" s="10"/>
      <x:c r="AM842" s="10"/>
      <x:c r="AN842" s="10"/>
      <x:c r="AO842" s="9"/>
      <x:c r="AP842" s="11" t="str">
        <x:f>HYPERLINK("https://www.pricecharting.com/search-products?q=Quantum+Break+pc+games&amp;type=prices","PriceCharting")</x:f>
        <x:v>PriceCharting</x:v>
      </x:c>
      <x:c r="AQ842" s="9" t="n">
        <x:v>39.99</x:v>
      </x:c>
      <x:c r="AR842" s="11" t="str">
        <x:v>Steam</x:v>
      </x:c>
      <x:c r="AS842" s="9" t="str">
        <x:f>HYPERLINK("https://store.steampowered.com/app/474960/","Store")</x:f>
        <x:v>Store</x:v>
      </x:c>
      <x:c r="AT842" s="9" t="str">
        <x:v>2026-10-24</x:v>
      </x:c>
      <x:c r="AU842" s="9"/>
      <x:c r="AV842" s="9"/>
      <x:c r="AW842" s="9"/>
      <x:c r="AX842" s="9"/>
      <x:c r="AY842" s="9"/>
      <x:c r="AZ842" s="9"/>
      <x:c r="BA842" s="11" t="str">
        <x:f>HYPERLINK("https://www.mobygames.com/search/?q=Quantum+Break","MobyGames")</x:f>
        <x:v>MobyGames</x:v>
      </x:c>
      <x:c r="BB842" s="9" t="str">
        <x:v>66%</x:v>
      </x:c>
      <x:c r="BC842" s="9" t="str">
        <x:v>Metacritic (PC), via Wikipedia; review count not given</x:v>
      </x:c>
      <x:c r="BD842" s="9" t="str">
        <x:f>HYPERLINK("https://www.metacritic.com/game/quantum-break/","Source")</x:f>
        <x:v>Source</x:v>
      </x:c>
      <x:c r="BE842" s="11" t="str">
        <x:f>HYPERLINK("https://en.wikipedia.org/wiki/Quantum_Break","Wikipedia")</x:f>
        <x:v>Wikipedia</x:v>
      </x:c>
      <x:c r="BF842" s="11" t="str">
        <x:f>HYPERLINK("https://backloggd.com/search/games/Quantum%20Break/","Backloggd")</x:f>
        <x:v>Backloggd</x:v>
      </x:c>
      <x:c r="BG842" s="9"/>
      <x:c r="BH842" s="9"/>
      <x:c r="BI842" s="12" t="str">
        <x:v>No</x:v>
      </x:c>
      <x:c r="BJ842" s="12" t="str"/>
      <x:c r="BK842" s="12" t="str">
        <x:v>No</x:v>
      </x:c>
      <x:c r="BL842" s="12" t="str"/>
      <x:c r="BM842" s="12" t="str"/>
      <x:c r="BN842" s="12" t="str"/>
      <x:c r="BO842" s="12" t="str"/>
      <x:c r="BP842" s="12" t="str"/>
      <x:c r="BQ842" s="12" t="str"/>
    </x:row>
    <x:row r="843">
      <x:c r="A843" s="9" t="str">
        <x:v>pc-196</x:v>
      </x:c>
      <x:c r="B843" s="9" t="str">
        <x:v>the-infectious-madness-of-doctor-dekker</x:v>
      </x:c>
      <x:c r="C843" s="9" t="str">
        <x:v>PC</x:v>
      </x:c>
      <x:c r="D843" s="9" t="str">
        <x:v>The Infectious Madness of Doctor Dekker</x:v>
      </x:c>
      <x:c r="E843" s="9" t="str"/>
      <x:c r="F843" s="9" t="str">
        <x:v>D'Avekki Studios</x:v>
      </x:c>
      <x:c r="G843" s="9" t="str">
        <x:v>D'Avekki Studios (PC); Wales Interactive (consoles)</x:v>
      </x:c>
      <x:c r="H843" s="9" t="n">
        <x:v>2017</x:v>
      </x:c>
      <x:c r="I843" s="9" t="str">
        <x:v>Yes</x:v>
      </x:c>
      <x:c r="J843" s="9" t="str">
        <x:v>No</x:v>
      </x:c>
      <x:c r="K843" s="9" t="str">
        <x:v>Yes</x:v>
      </x:c>
      <x:c r="L843" s="9" t="str">
        <x:v>No</x:v>
      </x:c>
      <x:c r="M843" s="9" t="str">
        <x:v>FMV murder mystery (typed questions)</x:v>
      </x:c>
      <x:c r="N843" s="9" t="str">
        <x:v>Live-action</x:v>
      </x:c>
      <x:c r="O843" s="9" t="n">
        <x:v>10</x:v>
      </x:c>
      <x:c r="P843" s="9" t="str">
        <x:v>FMV adventure</x:v>
      </x:c>
      <x:c r="Q843" s="9" t="str">
        <x:v>Released</x:v>
      </x:c>
      <x:c r="R843" s="9" t="str">
        <x:v>Original production</x:v>
      </x:c>
      <x:c r="S843" s="9" t="str">
        <x:v>macOS, Switch, PS4, Xbox One (2018)</x:v>
      </x:c>
      <x:c r="T843" s="9" t="str">
        <x:v>Unknown — verify</x:v>
      </x:c>
      <x:c r="U843" s="9" t="n">
        <x:v>0</x:v>
      </x:c>
      <x:c r="V843" s="9" t="str">
        <x:v>Yes</x:v>
      </x:c>
      <x:c r="W843" s="9" t="str">
        <x:v>Windows, low spec, keyboard for typed questions (verify); also macOS</x:v>
      </x:c>
      <x:c r="X843" s="9" t="str">
        <x:v>Low</x:v>
      </x:c>
      <x:c r="Y843" s="9" t="str"/>
      <x:c r="Z843" s="9" t="str">
        <x:v>3–5 hr</x:v>
      </x:c>
      <x:c r="AA843" s="9" t="str">
        <x:v>Type any question at a room of Lovecraft-tinged patients and one of them is the murderer of their psychiatrist.</x:v>
      </x:c>
      <x:c r="AB843" s="9" t="str">
        <x:v>None known</x:v>
      </x:c>
      <x:c r="AC843" s="9" t="str">
        <x:v>Live-action patient interviews; free-text questions parsed to pick video answers</x:v>
      </x:c>
      <x:c r="AD843" s="9" t="str">
        <x:v>Moderate; hints on a cooldown</x:v>
      </x:c>
      <x:c r="AE843" s="9" t="str">
        <x:v>Multiple endings, and the killer changes between playthroughs (verify)</x:v>
      </x:c>
      <x:c r="AF843" s="9" t="str">
        <x:v>Reviewers compared it straight away to Her Story; its Lovecraft references won it praise and its continuity slips drew some criticism.</x:v>
      </x:c>
      <x:c r="AG843" s="9" t="str">
        <x:v>Console physical editions via Wales Interactive (verify)</x:v>
      </x:c>
      <x:c r="AH843" s="9" t="str">
        <x:v>Yes (Steam; Switch, PS4, Xbox One)</x:v>
      </x:c>
      <x:c r="AI843" s="9" t="str">
        <x:v>Easy</x:v>
      </x:c>
      <x:c r="AJ843" s="9" t="str">
        <x:v>Steam (Windows, macOS); Switch, PS4, Xbox One stores.</x:v>
      </x:c>
      <x:c r="AK843" s="9" t="str">
        <x:v>Windows/macOS 19 May 2017; consoles 5 Jun 2018. TIGA nominations. Digital-only release, no PriceCharting listing.</x:v>
      </x:c>
      <x:c r="AL843" s="10"/>
      <x:c r="AM843" s="10"/>
      <x:c r="AN843" s="10"/>
      <x:c r="AO843" s="9"/>
      <x:c r="AP843" s="11" t="str">
        <x:f>HYPERLINK("https://www.pricecharting.com/search-products?q=The+Infectious+Madness+of+Doctor+Dekker+pc+games&amp;type=prices","PriceCharting")</x:f>
        <x:v>PriceCharting</x:v>
      </x:c>
      <x:c r="AQ843" s="9" t="n">
        <x:v>2.69</x:v>
      </x:c>
      <x:c r="AR843" s="11" t="str">
        <x:v>GOG</x:v>
      </x:c>
      <x:c r="AS843" s="9" t="str">
        <x:f>HYPERLINK("https://www.gog.com/en/game/the_infectious_madness_of_doctor_dekker","Store")</x:f>
        <x:v>Store</x:v>
      </x:c>
      <x:c r="AT843" s="9" t="str">
        <x:v>2026-10-24</x:v>
      </x:c>
      <x:c r="AU843" s="9"/>
      <x:c r="AV843" s="9"/>
      <x:c r="AW843" s="9"/>
      <x:c r="AX843" s="9"/>
      <x:c r="AY843" s="9"/>
      <x:c r="AZ843" s="9"/>
      <x:c r="BA843" s="11" t="str">
        <x:f>HYPERLINK("https://www.mobygames.com/search/?q=The+Infectious+Madness+of+Doctor+Dekker","MobyGames")</x:f>
        <x:v>MobyGames</x:v>
      </x:c>
      <x:c r="BB843" s="9" t="str">
        <x:v>78%</x:v>
      </x:c>
      <x:c r="BC843" s="9" t="str">
        <x:v>Metacritic (PC), 6 reviews</x:v>
      </x:c>
      <x:c r="BD843" s="9" t="str">
        <x:f>HYPERLINK("https://www.metacritic.com/game/the-infectious-madness-of-doctor-dekker/","Source")</x:f>
        <x:v>Source</x:v>
      </x:c>
      <x:c r="BE843" s="11" t="str">
        <x:f>HYPERLINK("https://en.wikipedia.org/wiki/The_Infectious_Madness_of_Doctor_Dekker","Wikipedia")</x:f>
        <x:v>Wikipedia</x:v>
      </x:c>
      <x:c r="BF843" s="11" t="str">
        <x:f>HYPERLINK("https://backloggd.com/search/games/The%20Infectious%20Madness%20of%20Doctor%20Dekker/","Backloggd")</x:f>
        <x:v>Backloggd</x:v>
      </x:c>
      <x:c r="BG843" s="9"/>
      <x:c r="BH843" s="9"/>
      <x:c r="BI843" s="12" t="str">
        <x:v>No</x:v>
      </x:c>
      <x:c r="BJ843" s="12" t="str"/>
      <x:c r="BK843" s="12" t="str">
        <x:v>No</x:v>
      </x:c>
      <x:c r="BL843" s="12" t="str"/>
      <x:c r="BM843" s="12" t="str"/>
      <x:c r="BN843" s="12" t="str"/>
      <x:c r="BO843" s="12" t="str"/>
      <x:c r="BP843" s="12" t="str"/>
      <x:c r="BQ843" s="12" t="str"/>
    </x:row>
    <x:row r="844">
      <x:c r="A844" s="9" t="str">
        <x:v>pc-197</x:v>
      </x:c>
      <x:c r="B844" s="9" t="str">
        <x:v>simulacra</x:v>
      </x:c>
      <x:c r="C844" s="9" t="str">
        <x:v>PC</x:v>
      </x:c>
      <x:c r="D844" s="9" t="str">
        <x:v>Simulacra</x:v>
      </x:c>
      <x:c r="E844" s="9" t="str"/>
      <x:c r="F844" s="9" t="str">
        <x:v>Kaigan Games</x:v>
      </x:c>
      <x:c r="G844" s="9" t="str">
        <x:v>Kaigan Games / Neon Doctrine (PC); Wales Interactive (consoles)</x:v>
      </x:c>
      <x:c r="H844" s="9" t="n">
        <x:v>2017</x:v>
      </x:c>
      <x:c r="I844" s="9" t="str">
        <x:v>Yes</x:v>
      </x:c>
      <x:c r="J844" s="9" t="str">
        <x:v>No</x:v>
      </x:c>
      <x:c r="K844" s="9" t="str">
        <x:v>Yes</x:v>
      </x:c>
      <x:c r="L844" s="9" t="str">
        <x:v>No</x:v>
      </x:c>
      <x:c r="M844" s="9" t="str">
        <x:v>Found-phone horror mystery</x:v>
      </x:c>
      <x:c r="N844" s="9" t="str">
        <x:v>Live-action</x:v>
      </x:c>
      <x:c r="O844" s="9" t="n">
        <x:v>5</x:v>
      </x:c>
      <x:c r="P844" s="9" t="str">
        <x:v>FMV adventure</x:v>
      </x:c>
      <x:c r="Q844" s="9" t="str">
        <x:v>Released</x:v>
      </x:c>
      <x:c r="R844" s="9" t="str">
        <x:v>Original production (mobile and Windows same day)</x:v>
      </x:c>
      <x:c r="S844" s="9" t="str">
        <x:v>iOS, Android (same day), macOS (2018), Switch, PS4, Xbox One (2019)</x:v>
      </x:c>
      <x:c r="T844" s="9" t="str">
        <x:v>Unknown — verify</x:v>
      </x:c>
      <x:c r="U844" s="9" t="n">
        <x:v>0</x:v>
      </x:c>
      <x:c r="V844" s="9" t="str">
        <x:v>Yes</x:v>
      </x:c>
      <x:c r="W844" s="9" t="str">
        <x:v>Windows, low spec (verify)</x:v>
      </x:c>
      <x:c r="X844" s="9" t="str">
        <x:v>Low</x:v>
      </x:c>
      <x:c r="Y844" s="9" t="str"/>
      <x:c r="Z844" s="9" t="str">
        <x:v>2–3 hr</x:v>
      </x:c>
      <x:c r="AA844" s="9" t="str">
        <x:v>You've found a missing woman's phone, and its glitching apps, chats and live-action videos are all you have to find her.</x:v>
      </x:c>
      <x:c r="AB844" s="9" t="str">
        <x:v>None known</x:v>
      </x:c>
      <x:c r="AC844" s="9" t="str">
        <x:v>Live-action video clips and photos inside a simulated phone interface; most play is reading chats and apps</x:v>
      </x:c>
      <x:c r="AD844" s="9" t="str">
        <x:v>Easy to moderate puzzles</x:v>
      </x:c>
      <x:c r="AE844" s="9" t="str">
        <x:v>4 endings</x:v>
      </x:c>
      <x:c r="AF844" s="9" t="str">
        <x:v>A spiritual successor to Kaigan's Sara Is Missing; it spawned Pipe Dreams, Simulacra 2 and Simulacra 3.</x:v>
      </x:c>
      <x:c r="AG844" s="9" t="str">
        <x:v>Console physical editions (verify)</x:v>
      </x:c>
      <x:c r="AH844" s="9" t="str">
        <x:v>Yes (Steam; iOS, Android, Switch, PS4, Xbox One)</x:v>
      </x:c>
      <x:c r="AI844" s="9" t="str">
        <x:v>Easy</x:v>
      </x:c>
      <x:c r="AJ844" s="9" t="str">
        <x:v>Steam (Windows, macOS); iOS, Android, Switch, PS4, Xbox One stores.</x:v>
      </x:c>
      <x:c r="AK844" s="9" t="str">
        <x:v>Windows, iOS and Android 26 Oct 2017. Metacritic PC page not checked; iOS 82, Xbox One/PS4 72 per Wikipedia. Live-action share of play is modest (verify fmv); confirm the video is live action (Wikipedia doesn't say). Digital-only release, no PriceCharting listing.</x:v>
      </x:c>
      <x:c r="AL844" s="10"/>
      <x:c r="AM844" s="10"/>
      <x:c r="AN844" s="10"/>
      <x:c r="AO844" s="9"/>
      <x:c r="AP844" s="11" t="str">
        <x:f>HYPERLINK("https://www.pricecharting.com/search-products?q=Simulacra+pc+games&amp;type=prices","PriceCharting")</x:f>
        <x:v>PriceCharting</x:v>
      </x:c>
      <x:c r="AQ844" s="9" t="n">
        <x:v>4.99</x:v>
      </x:c>
      <x:c r="AR844" s="11" t="str">
        <x:v>Steam</x:v>
      </x:c>
      <x:c r="AS844" s="9" t="str">
        <x:f>HYPERLINK("https://store.steampowered.com/app/712730/","Store")</x:f>
        <x:v>Store</x:v>
      </x:c>
      <x:c r="AT844" s="9" t="str">
        <x:v>2026-10-24</x:v>
      </x:c>
      <x:c r="AU844" s="9"/>
      <x:c r="AV844" s="9"/>
      <x:c r="AW844" s="9"/>
      <x:c r="AX844" s="9"/>
      <x:c r="AY844" s="9"/>
      <x:c r="AZ844" s="9"/>
      <x:c r="BA844" s="11" t="str">
        <x:f>HYPERLINK("https://www.mobygames.com/search/?q=Simulacra","MobyGames")</x:f>
        <x:v>MobyGames</x:v>
      </x:c>
      <x:c r="BB844" s="9" t="str">
        <x:v>82%</x:v>
      </x:c>
      <x:c r="BC844" s="9" t="str">
        <x:v>Metacritic (iOS, first platform alongside PC), via Wikipedia; review count not given</x:v>
      </x:c>
      <x:c r="BD844" s="9" t="str">
        <x:f>HYPERLINK("https://www.metacritic.com/game/simulacra/","Source")</x:f>
        <x:v>Source</x:v>
      </x:c>
      <x:c r="BE844" s="11" t="str">
        <x:f>HYPERLINK("https://en.wikipedia.org/wiki/Simulacra_(video_game)","Wikipedia")</x:f>
        <x:v>Wikipedia</x:v>
      </x:c>
      <x:c r="BF844" s="11" t="str">
        <x:f>HYPERLINK("https://backloggd.com/search/games/Simulacra/","Backloggd")</x:f>
        <x:v>Backloggd</x:v>
      </x:c>
      <x:c r="BG844" s="9"/>
      <x:c r="BH844" s="9"/>
      <x:c r="BI844" s="12" t="str">
        <x:v>No</x:v>
      </x:c>
      <x:c r="BJ844" s="12" t="str"/>
      <x:c r="BK844" s="12" t="str">
        <x:v>No</x:v>
      </x:c>
      <x:c r="BL844" s="12" t="str"/>
      <x:c r="BM844" s="12" t="str"/>
      <x:c r="BN844" s="12" t="str"/>
      <x:c r="BO844" s="12" t="str"/>
      <x:c r="BP844" s="12" t="str"/>
      <x:c r="BQ844" s="12" t="str"/>
    </x:row>
    <x:row r="845">
      <x:c r="A845" s="9" t="str">
        <x:v>pc-198</x:v>
      </x:c>
      <x:c r="B845" s="9" t="str">
        <x:v>super-seducer</x:v>
      </x:c>
      <x:c r="C845" s="9" t="str">
        <x:v>PC</x:v>
      </x:c>
      <x:c r="D845" s="9" t="str">
        <x:v>Super Seducer</x:v>
      </x:c>
      <x:c r="E845" s="9" t="str">
        <x:v>Super Seducer: How to Talk to Girls</x:v>
      </x:c>
      <x:c r="F845" s="9" t="str">
        <x:v>RLR Training Inc. (verify)</x:v>
      </x:c>
      <x:c r="G845" s="9" t="str">
        <x:v>RLR Training Inc. (verify)</x:v>
      </x:c>
      <x:c r="H845" s="9" t="n">
        <x:v>2018</x:v>
      </x:c>
      <x:c r="I845" s="9" t="str">
        <x:v>Yes</x:v>
      </x:c>
      <x:c r="J845" s="9" t="str">
        <x:v>No</x:v>
      </x:c>
      <x:c r="K845" s="9" t="str">
        <x:v>Yes</x:v>
      </x:c>
      <x:c r="L845" s="9" t="str">
        <x:v>No</x:v>
      </x:c>
      <x:c r="M845" s="9" t="str">
        <x:v>Dating sim (FMV)</x:v>
      </x:c>
      <x:c r="N845" s="9" t="str">
        <x:v>Live-action</x:v>
      </x:c>
      <x:c r="O845" s="9" t="n">
        <x:v>10</x:v>
      </x:c>
      <x:c r="P845" s="9" t="str">
        <x:v>Interactive movie</x:v>
      </x:c>
      <x:c r="Q845" s="9" t="str">
        <x:v>Released</x:v>
      </x:c>
      <x:c r="R845" s="9" t="str">
        <x:v>Original production by pickup coach Richard La Ruina</x:v>
      </x:c>
      <x:c r="S845" s="9" t="str">
        <x:v>macOS (verify); PS4 release blocked by Sony</x:v>
      </x:c>
      <x:c r="T845" s="9" t="str">
        <x:v>Richard La Ruina (himself)</x:v>
      </x:c>
      <x:c r="U845" s="9" t="n">
        <x:v>0</x:v>
      </x:c>
      <x:c r="V845" s="9" t="str">
        <x:v>Yes</x:v>
      </x:c>
      <x:c r="W845" s="9" t="str">
        <x:v>Windows, low spec (verify)</x:v>
      </x:c>
      <x:c r="X845" s="9" t="str">
        <x:v>Low</x:v>
      </x:c>
      <x:c r="Y845" s="9" t="str"/>
      <x:c r="Z845" s="9" t="str">
        <x:v>1–2 hr</x:v>
      </x:c>
      <x:c r="AA845" s="9" t="str">
        <x:v>A pickup artist's live-action 'seduction simulator' that Sony refused to sell, now an FMV curio and a meme.</x:v>
      </x:c>
      <x:c r="AB845" s="9" t="str">
        <x:v>None known</x:v>
      </x:c>
      <x:c r="AC845" s="9" t="str">
        <x:v>Live-action scenarios with multiple-choice responses and La Ruina's commentary on each choice</x:v>
      </x:c>
      <x:c r="AD845" s="9" t="str">
        <x:v>Trivial; wrong answers play joke scenes</x:v>
      </x:c>
      <x:c r="AE845" s="9" t="str">
        <x:v>Per-scenario good and bad outcomes</x:v>
      </x:c>
      <x:c r="AF845" s="9" t="str">
        <x:v>Sony blocked the planned PS4 release after the backlash; Steam later refused Super Seducer 3.</x:v>
      </x:c>
      <x:c r="AG845" s="9" t="str">
        <x:v>DLC packs 'Earning the Kiss' and 'Nighttime Strategy'; sequels Super Seducer 2 (2018) and 3 (2019) get their own ids</x:v>
      </x:c>
      <x:c r="AH845" s="9" t="str">
        <x:v>Yes (Steam)</x:v>
      </x:c>
      <x:c r="AI845" s="9" t="str">
        <x:v>Easy</x:v>
      </x:c>
      <x:c r="AJ845" s="9" t="str">
        <x:v>Steam (Windows).</x:v>
      </x:c>
      <x:c r="AK845" s="9" t="str">
        <x:v>Released on Steam March 2018 (verify date). Content is a dating/pickup product, not an adult video disc, so kept; Tom may prefer to exclude it. No Metacritic score found (OpenCritic lists it). Digital-only release, no PriceCharting listing.</x:v>
      </x:c>
      <x:c r="AL845" s="10"/>
      <x:c r="AM845" s="10"/>
      <x:c r="AN845" s="10"/>
      <x:c r="AO845" s="9"/>
      <x:c r="AP845" s="11" t="str">
        <x:f>HYPERLINK("https://www.pricecharting.com/search-products?q=Super+Seducer+pc+games&amp;type=prices","PriceCharting")</x:f>
        <x:v>PriceCharting</x:v>
      </x:c>
      <x:c r="AQ845" s="9" t="n">
        <x:v>12.99</x:v>
      </x:c>
      <x:c r="AR845" s="11" t="str">
        <x:v>Steam</x:v>
      </x:c>
      <x:c r="AS845" s="9" t="str">
        <x:f>HYPERLINK("https://store.steampowered.com/app/695920/","Store")</x:f>
        <x:v>Store</x:v>
      </x:c>
      <x:c r="AT845" s="9" t="str">
        <x:v>2026-10-24</x:v>
      </x:c>
      <x:c r="AU845" s="9"/>
      <x:c r="AV845" s="9"/>
      <x:c r="AW845" s="9"/>
      <x:c r="AX845" s="9"/>
      <x:c r="AY845" s="9"/>
      <x:c r="AZ845" s="9"/>
      <x:c r="BA845" s="11" t="str">
        <x:f>HYPERLINK("https://www.mobygames.com/search/?q=Super+Seducer","MobyGames")</x:f>
        <x:v>MobyGames</x:v>
      </x:c>
      <x:c r="BB845" s="9" t="str">
        <x:v>20%</x:v>
      </x:c>
      <x:c r="BC845" s="9" t="str">
        <x:v>GameRankings, 3 reviews</x:v>
      </x:c>
      <x:c r="BD845" s="9" t="str">
        <x:f>HYPERLINK("https://web.archive.org/web/20191209015237id_/https://www.gamerankings.com/pc/228011-super-seducer-how-to-talk-to-girls/","Source")</x:f>
        <x:v>Source</x:v>
      </x:c>
      <x:c r="BE845" s="9"/>
      <x:c r="BF845" s="11" t="str">
        <x:f>HYPERLINK("https://backloggd.com/search/games/Super%20Seducer/","Backloggd")</x:f>
        <x:v>Backloggd</x:v>
      </x:c>
      <x:c r="BG845" s="9"/>
      <x:c r="BH845" s="9"/>
      <x:c r="BI845" s="12" t="str">
        <x:v>No</x:v>
      </x:c>
      <x:c r="BJ845" s="12" t="str"/>
      <x:c r="BK845" s="12" t="str">
        <x:v>No</x:v>
      </x:c>
      <x:c r="BL845" s="12" t="str"/>
      <x:c r="BM845" s="12" t="str"/>
      <x:c r="BN845" s="12" t="str"/>
      <x:c r="BO845" s="12" t="str"/>
      <x:c r="BP845" s="12" t="str"/>
      <x:c r="BQ845" s="12" t="str"/>
    </x:row>
    <x:row r="846">
      <x:c r="A846" s="9" t="str">
        <x:v>pc-199</x:v>
      </x:c>
      <x:c r="B846" s="9" t="str">
        <x:v>the-shapeshifting-detective</x:v>
      </x:c>
      <x:c r="C846" s="9" t="str">
        <x:v>PC</x:v>
      </x:c>
      <x:c r="D846" s="9" t="str">
        <x:v>The Shapeshifting Detective</x:v>
      </x:c>
      <x:c r="E846" s="9" t="str"/>
      <x:c r="F846" s="9" t="str">
        <x:v>D'Avekki Studios</x:v>
      </x:c>
      <x:c r="G846" s="9" t="str">
        <x:v>Wales Interactive</x:v>
      </x:c>
      <x:c r="H846" s="9" t="n">
        <x:v>2018</x:v>
      </x:c>
      <x:c r="I846" s="9" t="str">
        <x:v>Yes</x:v>
      </x:c>
      <x:c r="J846" s="9" t="str">
        <x:v>No</x:v>
      </x:c>
      <x:c r="K846" s="9" t="str">
        <x:v>Yes</x:v>
      </x:c>
      <x:c r="L846" s="9" t="str">
        <x:v>No</x:v>
      </x:c>
      <x:c r="M846" s="9" t="str">
        <x:v>FMV murder mystery</x:v>
      </x:c>
      <x:c r="N846" s="9" t="str">
        <x:v>Live-action</x:v>
      </x:c>
      <x:c r="O846" s="9" t="n">
        <x:v>10</x:v>
      </x:c>
      <x:c r="P846" s="9" t="str">
        <x:v>FMV adventure</x:v>
      </x:c>
      <x:c r="Q846" s="9" t="str">
        <x:v>Released</x:v>
      </x:c>
      <x:c r="R846" s="9" t="str">
        <x:v>Original production (follow-up to Doctor Dekker)</x:v>
      </x:c>
      <x:c r="S846" s="9" t="str">
        <x:v>macOS, PS4, Switch, Xbox One (same day), iOS (2019)</x:v>
      </x:c>
      <x:c r="T846" s="9" t="str">
        <x:v>Unknown — verify</x:v>
      </x:c>
      <x:c r="U846" s="9" t="n">
        <x:v>0</x:v>
      </x:c>
      <x:c r="V846" s="9" t="str">
        <x:v>Yes</x:v>
      </x:c>
      <x:c r="W846" s="9" t="str">
        <x:v>Windows, low spec (verify); also macOS</x:v>
      </x:c>
      <x:c r="X846" s="9" t="str">
        <x:v>Low</x:v>
      </x:c>
      <x:c r="Y846" s="9" t="str"/>
      <x:c r="Z846" s="9" t="str">
        <x:v>2–4 hr per run</x:v>
      </x:c>
      <x:c r="AA846" s="9" t="str">
        <x:v>An unseen shapeshifter takes the faces of the suspects to interrogate them, and the killer is drawn at random each game.</x:v>
      </x:c>
      <x:c r="AB846" s="9" t="str">
        <x:v>None known</x:v>
      </x:c>
      <x:c r="AC846" s="9" t="str">
        <x:v>Live-action interviews chosen from question lists; the player impersonates characters they have met</x:v>
      </x:c>
      <x:c r="AD846" s="9" t="str">
        <x:v>Moderate; risky questions are flagged</x:v>
      </x:c>
      <x:c r="AE846" s="9" t="str">
        <x:v>Killer randomised each playthrough, with several possible outcomes</x:v>
      </x:c>
      <x:c r="AF846" s="9" t="str">
        <x:v>Set in the same universe as Doctor Dekker; a trio of fortune tellers predicts the murder, and radio intermissions break up the days.</x:v>
      </x:c>
      <x:c r="AG846" s="9" t="str">
        <x:v>Console physical editions (verify); in The FMV Collection bundles</x:v>
      </x:c>
      <x:c r="AH846" s="9" t="str">
        <x:v>Yes (Steam; PS4, Switch, Xbox One, iOS)</x:v>
      </x:c>
      <x:c r="AI846" s="9" t="str">
        <x:v>Easy</x:v>
      </x:c>
      <x:c r="AJ846" s="9" t="str">
        <x:v>Steam (Windows, macOS); PS4, Switch, Xbox One, iOS stores.</x:v>
      </x:c>
      <x:c r="AK846" s="9" t="str">
        <x:v>Mixed reviews per Wikipedia; Metacritic PC number not checked (WebFetch budget). Digital-only release, no PriceCharting listing.</x:v>
      </x:c>
      <x:c r="AL846" s="10"/>
      <x:c r="AM846" s="10"/>
      <x:c r="AN846" s="10"/>
      <x:c r="AO846" s="9"/>
      <x:c r="AP846" s="11" t="str">
        <x:f>HYPERLINK("https://www.pricecharting.com/search-products?q=The+Shapeshifting+Detective+pc+games&amp;type=prices","PriceCharting")</x:f>
        <x:v>PriceCharting</x:v>
      </x:c>
      <x:c r="AQ846" s="9" t="n">
        <x:v>14.99</x:v>
      </x:c>
      <x:c r="AR846" s="11" t="str">
        <x:v>Steam</x:v>
      </x:c>
      <x:c r="AS846" s="9" t="str">
        <x:f>HYPERLINK("https://store.steampowered.com/app/898650/","Store")</x:f>
        <x:v>Store</x:v>
      </x:c>
      <x:c r="AT846" s="9" t="str">
        <x:v>2026-10-24</x:v>
      </x:c>
      <x:c r="AU846" s="9"/>
      <x:c r="AV846" s="9"/>
      <x:c r="AW846" s="9"/>
      <x:c r="AX846" s="9"/>
      <x:c r="AY846" s="9"/>
      <x:c r="AZ846" s="9"/>
      <x:c r="BA846" s="11" t="str">
        <x:f>HYPERLINK("https://www.mobygames.com/search/?q=The+Shapeshifting+Detective","MobyGames")</x:f>
        <x:v>MobyGames</x:v>
      </x:c>
      <x:c r="BB846" s="9" t="str">
        <x:v>66%</x:v>
      </x:c>
      <x:c r="BC846" s="9" t="str">
        <x:v>GameRankings, 4 reviews</x:v>
      </x:c>
      <x:c r="BD846" s="9" t="str">
        <x:f>HYPERLINK("https://web.archive.org/web/20191209011933id_/https://www.gamerankings.com/pc/243653-the-shapeshifting-detective/","Source")</x:f>
        <x:v>Source</x:v>
      </x:c>
      <x:c r="BE846" s="11" t="str">
        <x:f>HYPERLINK("https://en.wikipedia.org/wiki/The_Shapeshifting_Detective","Wikipedia")</x:f>
        <x:v>Wikipedia</x:v>
      </x:c>
      <x:c r="BF846" s="11" t="str">
        <x:f>HYPERLINK("https://backloggd.com/search/games/The%20Shapeshifting%20Detective/","Backloggd")</x:f>
        <x:v>Backloggd</x:v>
      </x:c>
      <x:c r="BG846" s="9"/>
      <x:c r="BH846" s="9"/>
      <x:c r="BI846" s="12" t="str">
        <x:v>No</x:v>
      </x:c>
      <x:c r="BJ846" s="12" t="str"/>
      <x:c r="BK846" s="12" t="str">
        <x:v>No</x:v>
      </x:c>
      <x:c r="BL846" s="12" t="str"/>
      <x:c r="BM846" s="12" t="str"/>
      <x:c r="BN846" s="12" t="str"/>
      <x:c r="BO846" s="12" t="str"/>
      <x:c r="BP846" s="12" t="str"/>
      <x:c r="BQ846" s="12" t="str"/>
    </x:row>
    <x:row r="847">
      <x:c r="A847" s="9" t="str">
        <x:v>pc-200</x:v>
      </x:c>
      <x:c r="B847" s="9" t="str">
        <x:v>the-quiet-man</x:v>
      </x:c>
      <x:c r="C847" s="9" t="str">
        <x:v>PC</x:v>
      </x:c>
      <x:c r="D847" s="9" t="str">
        <x:v>The Quiet Man</x:v>
      </x:c>
      <x:c r="E847" s="9" t="str"/>
      <x:c r="F847" s="9" t="str">
        <x:v>Human Head Studios</x:v>
      </x:c>
      <x:c r="G847" s="9" t="str">
        <x:v>Square Enix</x:v>
      </x:c>
      <x:c r="H847" s="9" t="n">
        <x:v>2018</x:v>
      </x:c>
      <x:c r="I847" s="9" t="str">
        <x:v>Yes</x:v>
      </x:c>
      <x:c r="J847" s="9" t="str">
        <x:v>No</x:v>
      </x:c>
      <x:c r="K847" s="9" t="str">
        <x:v>Yes</x:v>
      </x:c>
      <x:c r="L847" s="9" t="str">
        <x:v>No</x:v>
      </x:c>
      <x:c r="M847" s="9" t="str">
        <x:v>Beat 'em up / interactive movie</x:v>
      </x:c>
      <x:c r="N847" s="9" t="str">
        <x:v>Live-action + CG</x:v>
      </x:c>
      <x:c r="O847" s="9" t="n">
        <x:v>5</x:v>
      </x:c>
      <x:c r="P847" s="9" t="str">
        <x:v>Interactive movie</x:v>
      </x:c>
      <x:c r="Q847" s="9" t="str">
        <x:v>Released</x:v>
      </x:c>
      <x:c r="R847" s="9" t="str">
        <x:v>Original production</x:v>
      </x:c>
      <x:c r="S847" s="9" t="str">
        <x:v>PS4</x:v>
      </x:c>
      <x:c r="T847" s="9" t="str">
        <x:v>Unknown — verify</x:v>
      </x:c>
      <x:c r="U847" s="9" t="n">
        <x:v>0</x:v>
      </x:c>
      <x:c r="V847" s="9" t="str">
        <x:v>Yes</x:v>
      </x:c>
      <x:c r="W847" s="9" t="str">
        <x:v>Windows 7+ 64-bit, DirectX 11 GPU (verify exact spec)</x:v>
      </x:c>
      <x:c r="X847" s="9" t="str">
        <x:v>Low</x:v>
      </x:c>
      <x:c r="Y847" s="9" t="str"/>
      <x:c r="Z847" s="9" t="str">
        <x:v>2–3 hr</x:v>
      </x:c>
      <x:c r="AA847" s="9" t="str">
        <x:v>Square Enix's live-action brawler about a deaf hero, played almost without sound, and 2018's lowest-rated game on Metacritic.</x:v>
      </x:c>
      <x:c r="AB847" s="9" t="str">
        <x:v>None known</x:v>
      </x:c>
      <x:c r="AC847" s="9" t="str">
        <x:v>Long live-action FMV sequences between real-time 3D fights, mostly muted with no subtitles</x:v>
      </x:c>
      <x:c r="AD847" s="9" t="str">
        <x:v>Easy; fights are short</x:v>
      </x:c>
      <x:c r="AE847" s="9" t="str">
        <x:v>One ending; the 'Answered' patch adds a second playthrough with full audio</x:v>
      </x:c>
      <x:c r="AF847" s="9" t="str">
        <x:v>The free 'Answered' update a week after launch restored dialogue and sound, explaining what players had watched in silence.</x:v>
      </x:c>
      <x:c r="AG847" s="9" t="str">
        <x:v>Digital only</x:v>
      </x:c>
      <x:c r="AH847" s="9" t="str">
        <x:v>Yes (Steam; PS4)</x:v>
      </x:c>
      <x:c r="AI847" s="9" t="str">
        <x:v>Easy</x:v>
      </x:c>
      <x:c r="AJ847" s="9" t="str">
        <x:v>Steam (Windows); PlayStation Store (PS4).</x:v>
      </x:c>
      <x:c r="AK847" s="9" t="str">
        <x:v>Released 1 Nov 2018 on Windows and PS4. Story co-created by Man of Action Studios. Digital-only release, no PriceCharting listing.</x:v>
      </x:c>
      <x:c r="AL847" s="10"/>
      <x:c r="AM847" s="10"/>
      <x:c r="AN847" s="10"/>
      <x:c r="AO847" s="9"/>
      <x:c r="AP847" s="11" t="str">
        <x:f>HYPERLINK("https://www.pricecharting.com/search-products?q=The+Quiet+Man+pc+games&amp;type=prices","PriceCharting")</x:f>
        <x:v>PriceCharting</x:v>
      </x:c>
      <x:c r="AQ847" s="9" t="n">
        <x:v>14.99</x:v>
      </x:c>
      <x:c r="AR847" s="11" t="str">
        <x:v>Steam</x:v>
      </x:c>
      <x:c r="AS847" s="9" t="str">
        <x:f>HYPERLINK("https://store.steampowered.com/app/790540/","Store")</x:f>
        <x:v>Store</x:v>
      </x:c>
      <x:c r="AT847" s="9" t="str">
        <x:v>2026-10-24</x:v>
      </x:c>
      <x:c r="AU847" s="9"/>
      <x:c r="AV847" s="9"/>
      <x:c r="AW847" s="9"/>
      <x:c r="AX847" s="9"/>
      <x:c r="AY847" s="9" t="str">
        <x:v>34%</x:v>
      </x:c>
      <x:c r="AZ847" s="9"/>
      <x:c r="BA847" s="11" t="str">
        <x:f>HYPERLINK("https://www.mobygames.com/game/windows/quiet-man","MobyGames")</x:f>
        <x:v>MobyGames</x:v>
      </x:c>
      <x:c r="BB847" s="9" t="str">
        <x:v>40%</x:v>
      </x:c>
      <x:c r="BC847" s="9" t="str">
        <x:v>Metacritic (PC), via Wikipedia; review count not given</x:v>
      </x:c>
      <x:c r="BD847" s="9" t="str">
        <x:f>HYPERLINK("https://www.metacritic.com/game/the-quiet-man/","Source")</x:f>
        <x:v>Source</x:v>
      </x:c>
      <x:c r="BE847" s="11" t="str">
        <x:f>HYPERLINK("https://en.wikipedia.org/wiki/The_Quiet_Man_(video_game)","Wikipedia")</x:f>
        <x:v>Wikipedia</x:v>
      </x:c>
      <x:c r="BF847" s="11" t="str">
        <x:f>HYPERLINK("https://backloggd.com/search/games/The%20Quiet%20Man/","Backloggd")</x:f>
        <x:v>Backloggd</x:v>
      </x:c>
      <x:c r="BG847" s="9"/>
      <x:c r="BH847" s="9"/>
      <x:c r="BI847" s="12" t="str">
        <x:v>No</x:v>
      </x:c>
      <x:c r="BJ847" s="12" t="str"/>
      <x:c r="BK847" s="12" t="str">
        <x:v>No</x:v>
      </x:c>
      <x:c r="BL847" s="12" t="str"/>
      <x:c r="BM847" s="12" t="str"/>
      <x:c r="BN847" s="12" t="str"/>
      <x:c r="BO847" s="12" t="str"/>
      <x:c r="BP847" s="12" t="str"/>
      <x:c r="BQ847" s="12" t="str"/>
    </x:row>
    <x:row r="848">
      <x:c r="A848" s="9" t="str">
        <x:v>pc-201</x:v>
      </x:c>
      <x:c r="B848" s="9" t="str">
        <x:v>erica</x:v>
      </x:c>
      <x:c r="C848" s="9" t="str">
        <x:v>PC</x:v>
      </x:c>
      <x:c r="D848" s="9" t="str">
        <x:v>Erica</x:v>
      </x:c>
      <x:c r="E848" s="9" t="str"/>
      <x:c r="F848" s="9" t="str">
        <x:v>Flavourworks</x:v>
      </x:c>
      <x:c r="G848" s="9" t="str">
        <x:v>Sony Interactive Entertainment (PS4); Flavourworks (Windows, iOS)</x:v>
      </x:c>
      <x:c r="H848" s="9" t="n">
        <x:v>2021</x:v>
      </x:c>
      <x:c r="I848" s="9" t="str">
        <x:v>Yes</x:v>
      </x:c>
      <x:c r="J848" s="9" t="str">
        <x:v>Yes</x:v>
      </x:c>
      <x:c r="K848" s="9" t="str">
        <x:v>Yes</x:v>
      </x:c>
      <x:c r="L848" s="9" t="str">
        <x:v>No</x:v>
      </x:c>
      <x:c r="M848" s="9" t="str">
        <x:v>Interactive thriller</x:v>
      </x:c>
      <x:c r="N848" s="9" t="str">
        <x:v>Live-action</x:v>
      </x:c>
      <x:c r="O848" s="9" t="n">
        <x:v>10</x:v>
      </x:c>
      <x:c r="P848" s="9" t="str">
        <x:v>Interactive movie</x:v>
      </x:c>
      <x:c r="Q848" s="9" t="str">
        <x:v>Released</x:v>
      </x:c>
      <x:c r="R848" s="9" t="str">
        <x:v>Original production (PlayStation 4 original, 2019)</x:v>
      </x:c>
      <x:c r="S848" s="9" t="str">
        <x:v>PlayStation 4 (2019), iOS (2021)</x:v>
      </x:c>
      <x:c r="T848" s="9" t="str">
        <x:v>Holly Earl (Erica Mason)</x:v>
      </x:c>
      <x:c r="U848" s="9" t="n">
        <x:v>0</x:v>
      </x:c>
      <x:c r="V848" s="9" t="str">
        <x:v>Yes (autosave)</x:v>
      </x:c>
      <x:c r="W848" s="9" t="str">
        <x:v>Win 10 64-bit, 8 GB RAM, DirectX 11 (verify); mouse-driven gestures (PS4 used touchpad or PlayLink phone)</x:v>
      </x:c>
      <x:c r="X848" s="9" t="str">
        <x:v>Low</x:v>
      </x:c>
      <x:c r="Y848" s="9" t="str"/>
      <x:c r="Z848" s="9" t="str">
        <x:v>1.5–2 hr per run</x:v>
      </x:c>
      <x:c r="AA848" s="9" t="str">
        <x:v>Sony's live-action thriller where you touch, wipe and grab objects inside the footage itself, no menus.</x:v>
      </x:c>
      <x:c r="AB848" s="9" t="str">
        <x:v>None known</x:v>
      </x:c>
      <x:c r="AC848" s="9" t="str">
        <x:v>1080p live action with seamless real-time branching; gestures play directly on the video</x:v>
      </x:c>
      <x:c r="AD848" s="9" t="str">
        <x:v>None; no fail states</x:v>
      </x:c>
      <x:c r="AE848" s="9" t="str">
        <x:v>Several branching endings and many scene variations (count verify)</x:v>
      </x:c>
      <x:c r="AF848" s="9" t="str">
        <x:v>Built on Flavourworks' own seamless-branching video tech; Austin Wintory's score was nominated at the D.I.C.E. Awards.</x:v>
      </x:c>
      <x:c r="AG848" s="9" t="str">
        <x:v>PS4 retail disc (verify); digital on PS Store, Steam, App Store</x:v>
      </x:c>
      <x:c r="AH848" s="9" t="str">
        <x:v>Yes (Steam, PS Store, App Store)</x:v>
      </x:c>
      <x:c r="AI848" s="9" t="str">
        <x:v>Easy</x:v>
      </x:c>
      <x:c r="AJ848" s="9" t="str">
        <x:v>Steam; also PS4 (PS Store/disc) and iOS</x:v>
      </x:c>
      <x:c r="AK848" s="9" t="str">
        <x:v>First released on PS4, 19 Aug 2019; Windows 25 May 2021. Metacritic: PS4 69 (41 reviews), PC 78 (6 reviews). MobyGames page lists no Windows-specific score; left blank. jp region on PC: Steam worldwide (verify).</x:v>
      </x:c>
      <x:c r="AL848" s="10"/>
      <x:c r="AM848" s="10"/>
      <x:c r="AN848" s="10"/>
      <x:c r="AO848" s="9"/>
      <x:c r="AP848" s="11" t="str">
        <x:f>HYPERLINK("https://www.pricecharting.com/search-products?q=Erica+pc+games&amp;type=prices","PriceCharting")</x:f>
        <x:v>PriceCharting</x:v>
      </x:c>
      <x:c r="AQ848" s="9" t="n">
        <x:v>11.99</x:v>
      </x:c>
      <x:c r="AR848" s="11" t="str">
        <x:v>Steam</x:v>
      </x:c>
      <x:c r="AS848" s="9" t="str">
        <x:f>HYPERLINK("https://store.steampowered.com/app/1514930/","Store")</x:f>
        <x:v>Store</x:v>
      </x:c>
      <x:c r="AT848" s="9" t="str">
        <x:v>2026-10-24</x:v>
      </x:c>
      <x:c r="AU848" s="9"/>
      <x:c r="AV848" s="9"/>
      <x:c r="AW848" s="9"/>
      <x:c r="AX848" s="9"/>
      <x:c r="AY848" s="9"/>
      <x:c r="AZ848" s="9"/>
      <x:c r="BA848" s="11" t="str">
        <x:f>HYPERLINK("https://www.mobygames.com/game/133456/erica/","MobyGames")</x:f>
        <x:v>MobyGames</x:v>
      </x:c>
      <x:c r="BB848" s="9" t="str">
        <x:v>78%</x:v>
      </x:c>
      <x:c r="BC848" s="9" t="str">
        <x:v>Metacritic (PC), 6 reviews</x:v>
      </x:c>
      <x:c r="BD848" s="9" t="str">
        <x:f>HYPERLINK("https://www.metacritic.com/game/erica/","Source")</x:f>
        <x:v>Source</x:v>
      </x:c>
      <x:c r="BE848" s="11" t="str">
        <x:f>HYPERLINK("https://en.wikipedia.org/wiki/Erica_(video_game)","Wikipedia")</x:f>
        <x:v>Wikipedia</x:v>
      </x:c>
      <x:c r="BF848" s="11" t="str">
        <x:f>HYPERLINK("https://backloggd.com/search/games/Erica/","Backloggd")</x:f>
        <x:v>Backloggd</x:v>
      </x:c>
      <x:c r="BG848" s="9"/>
      <x:c r="BH848" s="9"/>
      <x:c r="BI848" s="12" t="str">
        <x:v>No</x:v>
      </x:c>
      <x:c r="BJ848" s="12" t="str"/>
      <x:c r="BK848" s="12" t="str">
        <x:v>No</x:v>
      </x:c>
      <x:c r="BL848" s="12" t="str"/>
      <x:c r="BM848" s="12" t="str"/>
      <x:c r="BN848" s="12" t="str"/>
      <x:c r="BO848" s="12" t="str"/>
      <x:c r="BP848" s="12" t="str"/>
      <x:c r="BQ848" s="12" t="str"/>
    </x:row>
    <x:row r="849">
      <x:c r="A849" s="9" t="str">
        <x:v>pc-202</x:v>
      </x:c>
      <x:c r="B849" s="9" t="str">
        <x:v>telling-lies</x:v>
      </x:c>
      <x:c r="C849" s="9" t="str">
        <x:v>PC</x:v>
      </x:c>
      <x:c r="D849" s="9" t="str">
        <x:v>Telling Lies</x:v>
      </x:c>
      <x:c r="E849" s="9" t="str">
        <x:v>Telling L!es</x:v>
      </x:c>
      <x:c r="F849" s="9" t="str">
        <x:v>Sam Barlow, Furious Bee</x:v>
      </x:c>
      <x:c r="G849" s="9" t="str">
        <x:v>Annapurna Interactive</x:v>
      </x:c>
      <x:c r="H849" s="9" t="n">
        <x:v>2019</x:v>
      </x:c>
      <x:c r="I849" s="9" t="str">
        <x:v>Yes</x:v>
      </x:c>
      <x:c r="J849" s="9" t="str">
        <x:v>Yes</x:v>
      </x:c>
      <x:c r="K849" s="9" t="str">
        <x:v>Yes</x:v>
      </x:c>
      <x:c r="L849" s="9" t="str">
        <x:v>No</x:v>
      </x:c>
      <x:c r="M849" s="9" t="str">
        <x:v>Interactive film / database investigation</x:v>
      </x:c>
      <x:c r="N849" s="9" t="str">
        <x:v>Live-action</x:v>
      </x:c>
      <x:c r="O849" s="9" t="n">
        <x:v>10</x:v>
      </x:c>
      <x:c r="P849" s="9" t="str">
        <x:v>FMV adventure</x:v>
      </x:c>
      <x:c r="Q849" s="9" t="str">
        <x:v>Released</x:v>
      </x:c>
      <x:c r="R849" s="9" t="str">
        <x:v>Original production (spiritual successor to Her Story)</x:v>
      </x:c>
      <x:c r="S849" s="9" t="str">
        <x:v>macOS, iOS (2019); Switch, PS4, Xbox One (2020)</x:v>
      </x:c>
      <x:c r="T849" s="9" t="str">
        <x:v>Logan Marshall-Green (David Smith), Alexandra Shipp (Ava), Kerry Bishé (Emma), Angela Sarafyan (Maxine Williams)</x:v>
      </x:c>
      <x:c r="U849" s="9" t="n">
        <x:v>0</x:v>
      </x:c>
      <x:c r="V849" s="9" t="str">
        <x:v>Yes</x:v>
      </x:c>
      <x:c r="W849" s="9" t="str">
        <x:v>Win 7 64-bit, 4 GB RAM, DirectX 11 (verify); also macOS</x:v>
      </x:c>
      <x:c r="X849" s="9" t="str">
        <x:v>Low</x:v>
      </x:c>
      <x:c r="Y849" s="9" t="str"/>
      <x:c r="Z849" s="9" t="str">
        <x:v>3–5 hr</x:v>
      </x:c>
      <x:c r="AA849" s="9" t="str">
        <x:v>Four stars, one stolen NSA hard drive: you search webcam clips by keyword to piece together an undercover FBI agent's lies.</x:v>
      </x:c>
      <x:c r="AB849" s="9" t="str">
        <x:v>None known</x:v>
      </x:c>
      <x:c r="AC849" s="9" t="str">
        <x:v>1080p webcam/phone-style live action; database keyword search, one side of each call per clip; about 10 hr of footage in game</x:v>
      </x:c>
      <x:c r="AD849" s="9" t="str">
        <x:v>Easy to play, takes note-taking to follow; a session clock ends each playthrough</x:v>
      </x:c>
      <x:c r="AE849" s="9" t="str">
        <x:v>Three endings, set by whose videos you watched most</x:v>
      </x:c>
      <x:c r="AF849" s="9" t="str">
        <x:v>About 100 hours were shot; actors performed their calls to each other over live video from separate locations. The in-game solitaire can't be won: the king of clubs is missing.</x:v>
      </x:c>
      <x:c r="AG849" s="9" t="str">
        <x:v>Physical PS4/Switch editions (verify); digital elsewhere</x:v>
      </x:c>
      <x:c r="AH849" s="9" t="str">
        <x:v>Yes (Steam, App Store, Switch eShop, PS Store, Xbox)</x:v>
      </x:c>
      <x:c r="AI849" s="9" t="str">
        <x:v>Easy</x:v>
      </x:c>
      <x:c r="AJ849" s="9" t="str">
        <x:v>Steam (and other PC stores, verify); also macOS, iOS, Switch, PS4, Xbox One</x:v>
      </x:c>
      <x:c r="AK849" s="9" t="str">
        <x:v>MobyGames lists it as 'Telling L!es'; no Windows-specific critic score found, so Metacritic used. BAFTA nomination for Logan Marshall-Green (Performer in a Leading Role).</x:v>
      </x:c>
      <x:c r="AL849" s="10"/>
      <x:c r="AM849" s="10"/>
      <x:c r="AN849" s="10"/>
      <x:c r="AO849" s="9"/>
      <x:c r="AP849" s="11" t="str">
        <x:f>HYPERLINK("https://www.pricecharting.com/search-products?q=Telling+Lies+pc+games&amp;type=prices","PriceCharting")</x:f>
        <x:v>PriceCharting</x:v>
      </x:c>
      <x:c r="AQ849" s="9" t="n">
        <x:v>19.99</x:v>
      </x:c>
      <x:c r="AR849" s="11" t="str">
        <x:v>Steam</x:v>
      </x:c>
      <x:c r="AS849" s="9" t="str">
        <x:f>HYPERLINK("https://store.steampowered.com/app/762830/","Store")</x:f>
        <x:v>Store</x:v>
      </x:c>
      <x:c r="AT849" s="9" t="str">
        <x:v>2026-10-24</x:v>
      </x:c>
      <x:c r="AU849" s="9"/>
      <x:c r="AV849" s="9"/>
      <x:c r="AW849" s="9"/>
      <x:c r="AX849" s="9"/>
      <x:c r="AY849" s="9"/>
      <x:c r="AZ849" s="9"/>
      <x:c r="BA849" s="11" t="str">
        <x:f>HYPERLINK("https://www.mobygames.com/game/133460/telling-les/","MobyGames")</x:f>
        <x:v>MobyGames</x:v>
      </x:c>
      <x:c r="BB849" s="9" t="str">
        <x:v>84%</x:v>
      </x:c>
      <x:c r="BC849" s="9" t="str">
        <x:v>Metacritic (PC), 34 reviews</x:v>
      </x:c>
      <x:c r="BD849" s="9" t="str">
        <x:f>HYPERLINK("https://www.metacritic.com/game/telling-lies/","Source")</x:f>
        <x:v>Source</x:v>
      </x:c>
      <x:c r="BE849" s="11" t="str">
        <x:f>HYPERLINK("https://en.wikipedia.org/wiki/Telling_Lies_(video_game)","Wikipedia")</x:f>
        <x:v>Wikipedia</x:v>
      </x:c>
      <x:c r="BF849" s="11" t="str">
        <x:f>HYPERLINK("https://backloggd.com/search/games/Telling%20Lies/","Backloggd")</x:f>
        <x:v>Backloggd</x:v>
      </x:c>
      <x:c r="BG849" s="9"/>
      <x:c r="BH849" s="9"/>
      <x:c r="BI849" s="12" t="str">
        <x:v>No</x:v>
      </x:c>
      <x:c r="BJ849" s="12" t="str"/>
      <x:c r="BK849" s="12" t="str">
        <x:v>No</x:v>
      </x:c>
      <x:c r="BL849" s="12" t="str"/>
      <x:c r="BM849" s="12" t="str"/>
      <x:c r="BN849" s="12" t="str"/>
      <x:c r="BO849" s="12" t="str"/>
      <x:c r="BP849" s="12" t="str"/>
      <x:c r="BQ849" s="12" t="str"/>
    </x:row>
    <x:row r="850">
      <x:c r="A850" s="9" t="str">
        <x:v>pc-203</x:v>
      </x:c>
      <x:c r="B850" s="9" t="str">
        <x:v>five-dates</x:v>
      </x:c>
      <x:c r="C850" s="9" t="str">
        <x:v>PC</x:v>
      </x:c>
      <x:c r="D850" s="9" t="str">
        <x:v>Five Dates</x:v>
      </x:c>
      <x:c r="E850" s="9" t="str"/>
      <x:c r="F850" s="9" t="str">
        <x:v>Wales Interactive, Good Gate Media</x:v>
      </x:c>
      <x:c r="G850" s="9" t="str">
        <x:v>Wales Interactive</x:v>
      </x:c>
      <x:c r="H850" s="9" t="n">
        <x:v>2020</x:v>
      </x:c>
      <x:c r="I850" s="9" t="str">
        <x:v>Yes</x:v>
      </x:c>
      <x:c r="J850" s="9" t="str">
        <x:v>No</x:v>
      </x:c>
      <x:c r="K850" s="9" t="str">
        <x:v>Yes</x:v>
      </x:c>
      <x:c r="L850" s="9" t="str">
        <x:v>No</x:v>
      </x:c>
      <x:c r="M850" s="9" t="str">
        <x:v>Interactive romantic comedy</x:v>
      </x:c>
      <x:c r="N850" s="9" t="str">
        <x:v>Live-action</x:v>
      </x:c>
      <x:c r="O850" s="9" t="n">
        <x:v>10</x:v>
      </x:c>
      <x:c r="P850" s="9" t="str">
        <x:v>Interactive movie</x:v>
      </x:c>
      <x:c r="Q850" s="9" t="str">
        <x:v>Released</x:v>
      </x:c>
      <x:c r="R850" s="9" t="str">
        <x:v>Original production</x:v>
      </x:c>
      <x:c r="S850" s="9" t="str">
        <x:v>macOS, PS4, PS5, Xbox One, Switch, iOS, Android</x:v>
      </x:c>
      <x:c r="T850" s="9" t="str">
        <x:v>Taheen Modak (Vinny) (verify role), Mandip Gill, Georgia Hirst, Marisa Abela, Sinead Harnett</x:v>
      </x:c>
      <x:c r="U850" s="9" t="n">
        <x:v>0</x:v>
      </x:c>
      <x:c r="V850" s="9" t="str">
        <x:v>Yes</x:v>
      </x:c>
      <x:c r="W850" s="9" t="str">
        <x:v>Win 7, 4 GB RAM (verify); also macOS</x:v>
      </x:c>
      <x:c r="X850" s="9" t="str">
        <x:v>Low</x:v>
      </x:c>
      <x:c r="Y850" s="9" t="str"/>
      <x:c r="Z850" s="9" t="str">
        <x:v>1–2 hr per run</x:v>
      </x:c>
      <x:c r="AA850" s="9" t="str">
        <x:v>A lockdown dating sim shot over video calls in 2020: five dates, one guy, and you pick what he says.</x:v>
      </x:c>
      <x:c r="AB850" s="9" t="str">
        <x:v>None known</x:v>
      </x:c>
      <x:c r="AC850" s="9" t="str">
        <x:v>1080p live action shot as video calls; branching choices with timed prompts</x:v>
      </x:c>
      <x:c r="AD850" s="9" t="str">
        <x:v>None; choices only</x:v>
      </x:c>
      <x:c r="AE850" s="9" t="str">
        <x:v>Multiple, depending on which date you pursue and how it goes</x:v>
      </x:c>
      <x:c r="AF850" s="9" t="str">
        <x:v>Written, cast and shot entirely during the UK's 2020 COVID-19 lockdowns, directed by Paul Raschid; sequel Ten Dates (2023).</x:v>
      </x:c>
      <x:c r="AG850" s="9" t="str">
        <x:v>Digital; console physical editions (verify)</x:v>
      </x:c>
      <x:c r="AH850" s="9" t="str">
        <x:v>Yes (Steam, consoles, mobile)</x:v>
      </x:c>
      <x:c r="AI850" s="9" t="str">
        <x:v>Easy</x:v>
      </x:c>
      <x:c r="AJ850" s="9" t="str">
        <x:v>Steam and other PC stores; also PS4/PS5, Xbox, Switch, iOS, Android</x:v>
      </x:c>
      <x:c r="AK850" s="9" t="str">
        <x:v>Released 17 Nov 2020 on all platforms. Metacritic: PC 64 (review count not confirmed), PS4 79 (7), Switch 56. MobyGames shows only a combined score; left blank.</x:v>
      </x:c>
      <x:c r="AL850" s="10"/>
      <x:c r="AM850" s="10"/>
      <x:c r="AN850" s="10"/>
      <x:c r="AO850" s="9"/>
      <x:c r="AP850" s="11" t="str">
        <x:f>HYPERLINK("https://www.pricecharting.com/search-products?q=Five+Dates+pc+games&amp;type=prices","PriceCharting")</x:f>
        <x:v>PriceCharting</x:v>
      </x:c>
      <x:c r="AQ850" s="9" t="n">
        <x:v>14.99</x:v>
      </x:c>
      <x:c r="AR850" s="11" t="str">
        <x:v>Steam</x:v>
      </x:c>
      <x:c r="AS850" s="9" t="str">
        <x:f>HYPERLINK("https://store.steampowered.com/app/1353270/","Store")</x:f>
        <x:v>Store</x:v>
      </x:c>
      <x:c r="AT850" s="9" t="str">
        <x:v>2026-10-24</x:v>
      </x:c>
      <x:c r="AU850" s="9"/>
      <x:c r="AV850" s="9"/>
      <x:c r="AW850" s="9"/>
      <x:c r="AX850" s="9"/>
      <x:c r="AY850" s="9"/>
      <x:c r="AZ850" s="9"/>
      <x:c r="BA850" s="11" t="str">
        <x:f>HYPERLINK("https://www.mobygames.com/game/153210/five-dates/","MobyGames")</x:f>
        <x:v>MobyGames</x:v>
      </x:c>
      <x:c r="BB850" s="9" t="str">
        <x:v>64%</x:v>
      </x:c>
      <x:c r="BC850" s="9" t="str">
        <x:v>Metacritic (PC), review count not confirmed (verify)</x:v>
      </x:c>
      <x:c r="BD850" s="9" t="str">
        <x:f>HYPERLINK("https://www.metacritic.com/game/five-dates/","Source")</x:f>
        <x:v>Source</x:v>
      </x:c>
      <x:c r="BE850" s="11" t="str">
        <x:f>HYPERLINK("https://en.wikipedia.org/wiki/Five_Dates","Wikipedia")</x:f>
        <x:v>Wikipedia</x:v>
      </x:c>
      <x:c r="BF850" s="11" t="str">
        <x:f>HYPERLINK("https://backloggd.com/search/games/Five%20Dates/","Backloggd")</x:f>
        <x:v>Backloggd</x:v>
      </x:c>
      <x:c r="BG850" s="9"/>
      <x:c r="BH850" s="9"/>
      <x:c r="BI850" s="12" t="str">
        <x:v>No</x:v>
      </x:c>
      <x:c r="BJ850" s="12" t="str"/>
      <x:c r="BK850" s="12" t="str">
        <x:v>No</x:v>
      </x:c>
      <x:c r="BL850" s="12" t="str"/>
      <x:c r="BM850" s="12" t="str"/>
      <x:c r="BN850" s="12" t="str"/>
      <x:c r="BO850" s="12" t="str"/>
      <x:c r="BP850" s="12" t="str"/>
      <x:c r="BQ850" s="12" t="str"/>
    </x:row>
    <x:row r="851">
      <x:c r="A851" s="9" t="str">
        <x:v>pc-204</x:v>
      </x:c>
      <x:c r="B851" s="9" t="str">
        <x:v>the-complex</x:v>
      </x:c>
      <x:c r="C851" s="9" t="str">
        <x:v>PC</x:v>
      </x:c>
      <x:c r="D851" s="9" t="str">
        <x:v>The Complex</x:v>
      </x:c>
      <x:c r="E851" s="9" t="str"/>
      <x:c r="F851" s="9" t="str">
        <x:v>Wales Interactive, Good Gate Media, Little Jade Productions</x:v>
      </x:c>
      <x:c r="G851" s="9" t="str">
        <x:v>Wales Interactive</x:v>
      </x:c>
      <x:c r="H851" s="9" t="n">
        <x:v>2020</x:v>
      </x:c>
      <x:c r="I851" s="9" t="str">
        <x:v>Yes</x:v>
      </x:c>
      <x:c r="J851" s="9" t="str">
        <x:v>No</x:v>
      </x:c>
      <x:c r="K851" s="9" t="str">
        <x:v>Yes</x:v>
      </x:c>
      <x:c r="L851" s="9" t="str">
        <x:v>No</x:v>
      </x:c>
      <x:c r="M851" s="9" t="str">
        <x:v>Sci-fi thriller interactive movie</x:v>
      </x:c>
      <x:c r="N851" s="9" t="str">
        <x:v>Live-action</x:v>
      </x:c>
      <x:c r="O851" s="9" t="n">
        <x:v>10</x:v>
      </x:c>
      <x:c r="P851" s="9" t="str">
        <x:v>Interactive movie</x:v>
      </x:c>
      <x:c r="Q851" s="9" t="str">
        <x:v>Released</x:v>
      </x:c>
      <x:c r="R851" s="9" t="str">
        <x:v>Original production</x:v>
      </x:c>
      <x:c r="S851" s="9" t="str">
        <x:v>macOS, PS4, Xbox One, Switch, iOS, Android</x:v>
      </x:c>
      <x:c r="T851" s="9" t="str">
        <x:v>Michelle Mylett (Dr. Amy Tennant), Al Weaver (Rees) (verify)</x:v>
      </x:c>
      <x:c r="U851" s="9" t="n">
        <x:v>0</x:v>
      </x:c>
      <x:c r="V851" s="9" t="str">
        <x:v>Yes</x:v>
      </x:c>
      <x:c r="W851" s="9" t="str">
        <x:v>Win 7, 4 GB RAM (verify); also macOS</x:v>
      </x:c>
      <x:c r="X851" s="9" t="str">
        <x:v>Low</x:v>
      </x:c>
      <x:c r="Y851" s="9" t="str"/>
      <x:c r="Z851" s="9" t="str">
        <x:v>1.5 hr per run</x:v>
      </x:c>
      <x:c r="AA851" s="9" t="str">
        <x:v>Trapped in a lab bunker after a bio-weapon attack on London, with nine endings to chase.</x:v>
      </x:c>
      <x:c r="AB851" s="9" t="str">
        <x:v>None known</x:v>
      </x:c>
      <x:c r="AC851" s="9" t="str">
        <x:v>1080p live action, branching choices</x:v>
      </x:c>
      <x:c r="AD851" s="9" t="str">
        <x:v>None; choices only, with relationship stats</x:v>
      </x:c>
      <x:c r="AE851" s="9" t="str">
        <x:v>Nine endings</x:v>
      </x:c>
      <x:c r="AF851" s="9" t="str">
        <x:v>Directed by Lewis Arnold (verify); followed by The Complex: Found Footage (2022), a separate game.</x:v>
      </x:c>
      <x:c r="AG851" s="9" t="str">
        <x:v>Digital; console physical editions (verify)</x:v>
      </x:c>
      <x:c r="AH851" s="9" t="str">
        <x:v>Yes (Steam, Epic, consoles, mobile)</x:v>
      </x:c>
      <x:c r="AI851" s="9" t="str">
        <x:v>Easy</x:v>
      </x:c>
      <x:c r="AJ851" s="9" t="str">
        <x:v>Steam, Epic Games Store; also PS4, Xbox One, Switch, iOS, Android</x:v>
      </x:c>
      <x:c r="AK851" s="9" t="str">
        <x:v>Released 31 Mar 2020 (verify date). MobyGames shows a combined 74% across platforms (9 ratings), not used. No Metacritic PC score confirmed (WebFetch budget ran out). Live streamer LeahViathan has a guest part.</x:v>
      </x:c>
      <x:c r="AL851" s="10"/>
      <x:c r="AM851" s="10"/>
      <x:c r="AN851" s="10"/>
      <x:c r="AO851" s="9"/>
      <x:c r="AP851" s="11" t="str">
        <x:f>HYPERLINK("https://www.pricecharting.com/search-products?q=The+Complex+pc+games&amp;type=prices","PriceCharting")</x:f>
        <x:v>PriceCharting</x:v>
      </x:c>
      <x:c r="AQ851" s="9" t="n">
        <x:v>14.99</x:v>
      </x:c>
      <x:c r="AR851" s="11" t="str">
        <x:v>Steam</x:v>
      </x:c>
      <x:c r="AS851" s="9" t="str">
        <x:f>HYPERLINK("https://store.steampowered.com/app/1107790/","Store")</x:f>
        <x:v>Store</x:v>
      </x:c>
      <x:c r="AT851" s="9" t="str">
        <x:v>2026-10-24</x:v>
      </x:c>
      <x:c r="AU851" s="9"/>
      <x:c r="AV851" s="9"/>
      <x:c r="AW851" s="9"/>
      <x:c r="AX851" s="9"/>
      <x:c r="AY851" s="9"/>
      <x:c r="AZ851" s="9"/>
      <x:c r="BA851" s="11" t="str">
        <x:f>HYPERLINK("https://www.mobygames.com/game/143660/the-complex/","MobyGames")</x:f>
        <x:v>MobyGames</x:v>
      </x:c>
      <x:c r="BB851" s="9" t="str"/>
      <x:c r="BC851" s="9" t="str"/>
      <x:c r="BD851" s="9"/>
      <x:c r="BE851" s="11" t="str">
        <x:f>HYPERLINK("https://en.wikipedia.org/wiki/The_Complex_(video_game)","Wikipedia")</x:f>
        <x:v>Wikipedia</x:v>
      </x:c>
      <x:c r="BF851" s="11" t="str">
        <x:f>HYPERLINK("https://backloggd.com/search/games/The%20Complex/","Backloggd")</x:f>
        <x:v>Backloggd</x:v>
      </x:c>
      <x:c r="BG851" s="9"/>
      <x:c r="BH851" s="9"/>
      <x:c r="BI851" s="12" t="str">
        <x:v>No</x:v>
      </x:c>
      <x:c r="BJ851" s="12" t="str"/>
      <x:c r="BK851" s="12" t="str">
        <x:v>No</x:v>
      </x:c>
      <x:c r="BL851" s="12" t="str"/>
      <x:c r="BM851" s="12" t="str"/>
      <x:c r="BN851" s="12" t="str"/>
      <x:c r="BO851" s="12" t="str"/>
      <x:c r="BP851" s="12" t="str"/>
      <x:c r="BQ851" s="12" t="str"/>
    </x:row>
    <x:row r="852">
      <x:c r="A852" s="9" t="str">
        <x:v>pc-205</x:v>
      </x:c>
      <x:c r="B852" s="9" t="str">
        <x:v>death-come-true</x:v>
      </x:c>
      <x:c r="C852" s="9" t="str">
        <x:v>PC</x:v>
      </x:c>
      <x:c r="D852" s="9" t="str">
        <x:v>Death Come True</x:v>
      </x:c>
      <x:c r="E852" s="9" t="str"/>
      <x:c r="F852" s="9" t="str">
        <x:v>Too Kyo Games, Esquadra</x:v>
      </x:c>
      <x:c r="G852" s="9" t="str">
        <x:v>IzanagiGames</x:v>
      </x:c>
      <x:c r="H852" s="9" t="n">
        <x:v>2020</x:v>
      </x:c>
      <x:c r="I852" s="9" t="str">
        <x:v>Yes</x:v>
      </x:c>
      <x:c r="J852" s="9" t="str">
        <x:v>Yes</x:v>
      </x:c>
      <x:c r="K852" s="9" t="str">
        <x:v>Yes</x:v>
      </x:c>
      <x:c r="L852" s="9" t="str">
        <x:v>No</x:v>
      </x:c>
      <x:c r="M852" s="9" t="str">
        <x:v>Time-loop mystery interactive movie</x:v>
      </x:c>
      <x:c r="N852" s="9" t="str">
        <x:v>Live-action</x:v>
      </x:c>
      <x:c r="O852" s="9" t="n">
        <x:v>10</x:v>
      </x:c>
      <x:c r="P852" s="9" t="str">
        <x:v>Interactive movie</x:v>
      </x:c>
      <x:c r="Q852" s="9" t="str">
        <x:v>Released</x:v>
      </x:c>
      <x:c r="R852" s="9" t="str">
        <x:v>Original production</x:v>
      </x:c>
      <x:c r="S852" s="9" t="str">
        <x:v>Switch, iOS, Android (June 2020); PS4 (Nov 2020); PS5, Xbox One (2024)</x:v>
      </x:c>
      <x:c r="T852" s="9" t="str">
        <x:v>Kanata Hongō (Makoto Karaki), Chiaki Kuriyama (Akane Sachimura), Win Morisaki (Nozomu Kuji), Yuki Kaji (Concierge)</x:v>
      </x:c>
      <x:c r="U852" s="9" t="n">
        <x:v>0</x:v>
      </x:c>
      <x:c r="V852" s="9" t="str">
        <x:v>Yes</x:v>
      </x:c>
      <x:c r="W852" s="9" t="str">
        <x:v>Win 10 (verify), 4 GB RAM (verify)</x:v>
      </x:c>
      <x:c r="X852" s="9" t="str">
        <x:v>Low</x:v>
      </x:c>
      <x:c r="Y852" s="9" t="str"/>
      <x:c r="Z852" s="9" t="str">
        <x:v>2 hr</x:v>
      </x:c>
      <x:c r="AA852" s="9" t="str">
        <x:v>Danganronpa's creator shoots a live-action hotel murder loop starring Kill Bill's Chiaki Kuriyama.</x:v>
      </x:c>
      <x:c r="AB852" s="9" t="str">
        <x:v>None known</x:v>
      </x:c>
      <x:c r="AC852" s="9" t="str">
        <x:v>1080p live action, branching with death/time-leap loops; Japanese audio with English subtitles</x:v>
      </x:c>
      <x:c r="AD852" s="9" t="str">
        <x:v>Easy; deaths send you back with new knowledge</x:v>
      </x:c>
      <x:c r="AE852" s="9" t="str">
        <x:v>Two main endings plus many death endings</x:v>
      </x:c>
      <x:c r="AF852" s="9" t="str">
        <x:v>Written and directed by Kazutaka Kodaka (Danganronpa); music by Masafumi Takada; built in Unity.</x:v>
      </x:c>
      <x:c r="AG852" s="9" t="str">
        <x:v>Switch physical edition in Japan/Asia (verify)</x:v>
      </x:c>
      <x:c r="AH852" s="9" t="str">
        <x:v>Yes (Steam; consoles, mobile)</x:v>
      </x:c>
      <x:c r="AI852" s="9" t="str">
        <x:v>Easy</x:v>
      </x:c>
      <x:c r="AJ852" s="9" t="str">
        <x:v>Steam; also Switch, PS4/PS5, Xbox One, iOS, Android</x:v>
      </x:c>
      <x:c r="AK852" s="9" t="str">
        <x:v>First released on Switch, 24–25 Jun 2020; Windows 17 Jul 2020. Metacritic: Switch 75 (8), iOS 72 (5), PC 69 (4).</x:v>
      </x:c>
      <x:c r="AL852" s="10"/>
      <x:c r="AM852" s="10"/>
      <x:c r="AN852" s="10"/>
      <x:c r="AO852" s="9"/>
      <x:c r="AP852" s="11" t="str">
        <x:f>HYPERLINK("https://www.pricecharting.com/search-products?q=Death+Come+True+pc+games&amp;type=prices","PriceCharting")</x:f>
        <x:v>PriceCharting</x:v>
      </x:c>
      <x:c r="AQ852" s="9" t="n">
        <x:v>15.99</x:v>
      </x:c>
      <x:c r="AR852" s="11" t="str">
        <x:v>Steam</x:v>
      </x:c>
      <x:c r="AS852" s="9" t="str">
        <x:f>HYPERLINK("https://store.steampowered.com/app/1321070/","Store")</x:f>
        <x:v>Store</x:v>
      </x:c>
      <x:c r="AT852" s="9" t="str">
        <x:v>2026-10-24</x:v>
      </x:c>
      <x:c r="AU852" s="9"/>
      <x:c r="AV852" s="9"/>
      <x:c r="AW852" s="9"/>
      <x:c r="AX852" s="9"/>
      <x:c r="AY852" s="9"/>
      <x:c r="AZ852" s="9"/>
      <x:c r="BA852" s="11" t="str">
        <x:f>HYPERLINK("https://www.mobygames.com/search/?q=Death+Come+True","MobyGames")</x:f>
        <x:v>MobyGames</x:v>
      </x:c>
      <x:c r="BB852" s="9" t="str">
        <x:v>69%</x:v>
      </x:c>
      <x:c r="BC852" s="9" t="str">
        <x:v>Metacritic (PC), 4 reviews</x:v>
      </x:c>
      <x:c r="BD852" s="9" t="str">
        <x:f>HYPERLINK("https://www.metacritic.com/game/death-come-true/","Source")</x:f>
        <x:v>Source</x:v>
      </x:c>
      <x:c r="BE852" s="11" t="str">
        <x:f>HYPERLINK("https://en.wikipedia.org/wiki/Death_Come_True","Wikipedia")</x:f>
        <x:v>Wikipedia</x:v>
      </x:c>
      <x:c r="BF852" s="11" t="str">
        <x:f>HYPERLINK("https://backloggd.com/search/games/Death%20Come%20True/","Backloggd")</x:f>
        <x:v>Backloggd</x:v>
      </x:c>
      <x:c r="BG852" s="9"/>
      <x:c r="BH852" s="9"/>
      <x:c r="BI852" s="12" t="str">
        <x:v>No</x:v>
      </x:c>
      <x:c r="BJ852" s="12" t="str"/>
      <x:c r="BK852" s="12" t="str">
        <x:v>No</x:v>
      </x:c>
      <x:c r="BL852" s="12" t="str"/>
      <x:c r="BM852" s="12" t="str"/>
      <x:c r="BN852" s="12" t="str"/>
      <x:c r="BO852" s="12" t="str"/>
      <x:c r="BP852" s="12" t="str"/>
      <x:c r="BQ852" s="12" t="str"/>
    </x:row>
    <x:row r="853">
      <x:c r="A853" s="9" t="str">
        <x:v>pc-206</x:v>
      </x:c>
      <x:c r="B853" s="9" t="str">
        <x:v>dark-nights-with-poe-and-munro</x:v>
      </x:c>
      <x:c r="C853" s="9" t="str">
        <x:v>PC</x:v>
      </x:c>
      <x:c r="D853" s="9" t="str">
        <x:v>Dark Nights with Poe and Munro</x:v>
      </x:c>
      <x:c r="E853" s="9" t="str">
        <x:v>Dark Nights with Poe &amp; Munro</x:v>
      </x:c>
      <x:c r="F853" s="9" t="str">
        <x:v>D'Avekki Studios</x:v>
      </x:c>
      <x:c r="G853" s="9" t="str">
        <x:v>D'Avekki Studios</x:v>
      </x:c>
      <x:c r="H853" s="9" t="n">
        <x:v>2020</x:v>
      </x:c>
      <x:c r="I853" s="9" t="str">
        <x:v>Yes</x:v>
      </x:c>
      <x:c r="J853" s="9" t="str">
        <x:v>No</x:v>
      </x:c>
      <x:c r="K853" s="9" t="str">
        <x:v>Yes</x:v>
      </x:c>
      <x:c r="L853" s="9" t="str">
        <x:v>No</x:v>
      </x:c>
      <x:c r="M853" s="9" t="str">
        <x:v>Episodic comedy-mystery interactive movie</x:v>
      </x:c>
      <x:c r="N853" s="9" t="str">
        <x:v>Live-action</x:v>
      </x:c>
      <x:c r="O853" s="9" t="n">
        <x:v>10</x:v>
      </x:c>
      <x:c r="P853" s="9" t="str">
        <x:v>Interactive movie</x:v>
      </x:c>
      <x:c r="Q853" s="9" t="str">
        <x:v>Released</x:v>
      </x:c>
      <x:c r="R853" s="9" t="str">
        <x:v>Original production (spin-off of The Shapeshifting Detective)</x:v>
      </x:c>
      <x:c r="S853" s="9" t="str">
        <x:v>Linux, PS4, Xbox One, Xbox Series, Switch</x:v>
      </x:c>
      <x:c r="T853" s="9" t="str">
        <x:v>Klemens Koehring (Poe), Leah Cunard (Munro), Aislinn De'Ath (Violet), Rachel Cowles (Rose); guest voices Justin McElroy, Jesse Cox</x:v>
      </x:c>
      <x:c r="U853" s="9" t="n">
        <x:v>0</x:v>
      </x:c>
      <x:c r="V853" s="9" t="str">
        <x:v>Yes</x:v>
      </x:c>
      <x:c r="W853" s="9" t="str">
        <x:v>Win 7, 4 GB RAM (verify); also Linux</x:v>
      </x:c>
      <x:c r="X853" s="9" t="str">
        <x:v>Low</x:v>
      </x:c>
      <x:c r="Y853" s="9" t="str"/>
      <x:c r="Z853" s="9" t="str">
        <x:v>4–6 hr (six episodes)</x:v>
      </x:c>
      <x:c r="AA853" s="9" t="str">
        <x:v>Two late-night radio hosts in a cursed town, six TV-style episodes, and you decide their every move.</x:v>
      </x:c>
      <x:c r="AB853" s="9" t="str">
        <x:v>None known</x:v>
      </x:c>
      <x:c r="AC853" s="9" t="str">
        <x:v>1080p live action, six episodes with branching choices</x:v>
      </x:c>
      <x:c r="AD853" s="9" t="str">
        <x:v>None; choices only</x:v>
      </x:c>
      <x:c r="AE853" s="9" t="str">
        <x:v>Branching episode outcomes and multiple finales (verify)</x:v>
      </x:c>
      <x:c r="AF853" s="9" t="str">
        <x:v>From the makers of The Infectious Madness of Doctor Dekker and The Shapeshifting Detective; Poe and Munro first appeared in The Shapeshifting Detective.</x:v>
      </x:c>
      <x:c r="AG853" s="9" t="str">
        <x:v>Digital; console physical edition (verify)</x:v>
      </x:c>
      <x:c r="AH853" s="9" t="str">
        <x:v>Yes (Steam; consoles)</x:v>
      </x:c>
      <x:c r="AI853" s="9" t="str">
        <x:v>Easy</x:v>
      </x:c>
      <x:c r="AJ853" s="9" t="str">
        <x:v>Steam (Windows/Linux); also PS4, Xbox, Switch</x:v>
      </x:c>
      <x:c r="AK853" s="9" t="str">
        <x:v>Released for PC on 19 May 2020 (Wikipedia). MobyGames shows a combined 70% from 4 ratings across platforms, not used; no Metacritic PC score confirmed.</x:v>
      </x:c>
      <x:c r="AL853" s="10"/>
      <x:c r="AM853" s="10"/>
      <x:c r="AN853" s="10"/>
      <x:c r="AO853" s="9"/>
      <x:c r="AP853" s="11" t="str">
        <x:f>HYPERLINK("https://www.pricecharting.com/search-products?q=Dark+Nights+with+Poe+and+Munro+pc+games&amp;type=prices","PriceCharting")</x:f>
        <x:v>PriceCharting</x:v>
      </x:c>
      <x:c r="AQ853" s="9" t="n">
        <x:v>3.89</x:v>
      </x:c>
      <x:c r="AR853" s="11" t="str">
        <x:v>Steam</x:v>
      </x:c>
      <x:c r="AS853" s="9" t="str">
        <x:f>HYPERLINK("https://store.steampowered.com/app/1098170/","Store")</x:f>
        <x:v>Store</x:v>
      </x:c>
      <x:c r="AT853" s="9" t="str">
        <x:v>2026-10-24</x:v>
      </x:c>
      <x:c r="AU853" s="9"/>
      <x:c r="AV853" s="9"/>
      <x:c r="AW853" s="9"/>
      <x:c r="AX853" s="9"/>
      <x:c r="AY853" s="9"/>
      <x:c r="AZ853" s="9"/>
      <x:c r="BA853" s="11" t="str">
        <x:f>HYPERLINK("https://www.mobygames.com/game/145783/dark-nights-with-poe-munro/","MobyGames")</x:f>
        <x:v>MobyGames</x:v>
      </x:c>
      <x:c r="BB853" s="9" t="str"/>
      <x:c r="BC853" s="9" t="str"/>
      <x:c r="BD853" s="9"/>
      <x:c r="BE853" s="9"/>
      <x:c r="BF853" s="11" t="str">
        <x:f>HYPERLINK("https://backloggd.com/search/games/Dark%20Nights%20with%20Poe%20and%20Munro/","Backloggd")</x:f>
        <x:v>Backloggd</x:v>
      </x:c>
      <x:c r="BG853" s="9"/>
      <x:c r="BH853" s="9"/>
      <x:c r="BI853" s="12" t="str">
        <x:v>No</x:v>
      </x:c>
      <x:c r="BJ853" s="12" t="str"/>
      <x:c r="BK853" s="12" t="str">
        <x:v>No</x:v>
      </x:c>
      <x:c r="BL853" s="12" t="str"/>
      <x:c r="BM853" s="12" t="str"/>
      <x:c r="BN853" s="12" t="str"/>
      <x:c r="BO853" s="12" t="str"/>
      <x:c r="BP853" s="12" t="str"/>
      <x:c r="BQ853" s="12" t="str"/>
    </x:row>
    <x:row r="854">
      <x:c r="A854" s="9" t="str">
        <x:v>pc-207</x:v>
      </x:c>
      <x:c r="B854" s="9" t="str">
        <x:v>i-saw-black-clouds</x:v>
      </x:c>
      <x:c r="C854" s="9" t="str">
        <x:v>PC</x:v>
      </x:c>
      <x:c r="D854" s="9" t="str">
        <x:v>I Saw Black Clouds</x:v>
      </x:c>
      <x:c r="E854" s="9" t="str"/>
      <x:c r="F854" s="9" t="str">
        <x:v>Ghost Dog Films, Wales Interactive</x:v>
      </x:c>
      <x:c r="G854" s="9" t="str">
        <x:v>Wales Interactive</x:v>
      </x:c>
      <x:c r="H854" s="9" t="n">
        <x:v>2021</x:v>
      </x:c>
      <x:c r="I854" s="9" t="str">
        <x:v>Yes</x:v>
      </x:c>
      <x:c r="J854" s="9" t="str">
        <x:v>No</x:v>
      </x:c>
      <x:c r="K854" s="9" t="str">
        <x:v>Yes</x:v>
      </x:c>
      <x:c r="L854" s="9" t="str">
        <x:v>No</x:v>
      </x:c>
      <x:c r="M854" s="9" t="str">
        <x:v>Psychological horror interactive movie</x:v>
      </x:c>
      <x:c r="N854" s="9" t="str">
        <x:v>Live-action</x:v>
      </x:c>
      <x:c r="O854" s="9" t="n">
        <x:v>10</x:v>
      </x:c>
      <x:c r="P854" s="9" t="str">
        <x:v>Interactive movie</x:v>
      </x:c>
      <x:c r="Q854" s="9" t="str">
        <x:v>Released</x:v>
      </x:c>
      <x:c r="R854" s="9" t="str">
        <x:v>Original production</x:v>
      </x:c>
      <x:c r="S854" s="9" t="str">
        <x:v>PS4, PS5, Xbox One, Xbox Series, Switch, iOS</x:v>
      </x:c>
      <x:c r="T854" s="9" t="str">
        <x:v>Kelly Gough (Kristy) (verify); rest Unknown — verify</x:v>
      </x:c>
      <x:c r="U854" s="9" t="n">
        <x:v>0</x:v>
      </x:c>
      <x:c r="V854" s="9" t="str">
        <x:v>Yes</x:v>
      </x:c>
      <x:c r="W854" s="9" t="str">
        <x:v>Win 7, 4 GB RAM (verify)</x:v>
      </x:c>
      <x:c r="X854" s="9" t="str">
        <x:v>Low</x:v>
      </x:c>
      <x:c r="Y854" s="9" t="str"/>
      <x:c r="Z854" s="9" t="str">
        <x:v>1.5 hr per run</x:v>
      </x:c>
      <x:c r="AA854" s="9" t="str">
        <x:v>A woman returns home after a friend's suicide and the supernatural follows, with a twist that split critics.</x:v>
      </x:c>
      <x:c r="AB854" s="9" t="str">
        <x:v>None known</x:v>
      </x:c>
      <x:c r="AC854" s="9" t="str">
        <x:v>1080p live action, branching choices</x:v>
      </x:c>
      <x:c r="AD854" s="9" t="str">
        <x:v>None; choices only</x:v>
      </x:c>
      <x:c r="AE854" s="9" t="str">
        <x:v>Multiple endings (count verify)</x:v>
      </x:c>
      <x:c r="AF854" s="9" t="str">
        <x:v>Produced by Ghost Dog Films with Wales Interactive; critics singled out its mid-game twist.</x:v>
      </x:c>
      <x:c r="AG854" s="9" t="str">
        <x:v>Digital</x:v>
      </x:c>
      <x:c r="AH854" s="9" t="str">
        <x:v>Yes (Steam; consoles, iOS)</x:v>
      </x:c>
      <x:c r="AI854" s="9" t="str">
        <x:v>Easy</x:v>
      </x:c>
      <x:c r="AJ854" s="9" t="str">
        <x:v>Steam; also PS4/PS5, Xbox, Switch, iOS</x:v>
      </x:c>
      <x:c r="AK854" s="9" t="str">
        <x:v>Released 30 Mar 2021. OpenCritic top critic average 50 (17 critics); no Metacritic PC score confirmed (WebFetch budget ran out).</x:v>
      </x:c>
      <x:c r="AL854" s="10"/>
      <x:c r="AM854" s="10"/>
      <x:c r="AN854" s="10"/>
      <x:c r="AO854" s="9"/>
      <x:c r="AP854" s="11" t="str">
        <x:f>HYPERLINK("https://www.pricecharting.com/search-products?q=I+Saw+Black+Clouds+pc+games&amp;type=prices","PriceCharting")</x:f>
        <x:v>PriceCharting</x:v>
      </x:c>
      <x:c r="AQ854" s="9" t="n">
        <x:v>14.99</x:v>
      </x:c>
      <x:c r="AR854" s="11" t="str">
        <x:v>Steam</x:v>
      </x:c>
      <x:c r="AS854" s="9" t="str">
        <x:f>HYPERLINK("https://store.steampowered.com/app/1346830/","Store")</x:f>
        <x:v>Store</x:v>
      </x:c>
      <x:c r="AT854" s="9" t="str">
        <x:v>2026-10-24</x:v>
      </x:c>
      <x:c r="AU854" s="9"/>
      <x:c r="AV854" s="9"/>
      <x:c r="AW854" s="9"/>
      <x:c r="AX854" s="9"/>
      <x:c r="AY854" s="9"/>
      <x:c r="AZ854" s="9"/>
      <x:c r="BA854" s="11" t="str">
        <x:f>HYPERLINK("https://www.mobygames.com/game/161546/i-saw-black-clouds/","MobyGames")</x:f>
        <x:v>MobyGames</x:v>
      </x:c>
      <x:c r="BB854" s="9" t="str"/>
      <x:c r="BC854" s="9" t="str"/>
      <x:c r="BD854" s="9"/>
      <x:c r="BE854" s="9"/>
      <x:c r="BF854" s="11" t="str">
        <x:f>HYPERLINK("https://backloggd.com/search/games/I%20Saw%20Black%20Clouds/","Backloggd")</x:f>
        <x:v>Backloggd</x:v>
      </x:c>
      <x:c r="BG854" s="9"/>
      <x:c r="BH854" s="9"/>
      <x:c r="BI854" s="12" t="str">
        <x:v>No</x:v>
      </x:c>
      <x:c r="BJ854" s="12" t="str"/>
      <x:c r="BK854" s="12" t="str">
        <x:v>No</x:v>
      </x:c>
      <x:c r="BL854" s="12" t="str"/>
      <x:c r="BM854" s="12" t="str"/>
      <x:c r="BN854" s="12" t="str"/>
      <x:c r="BO854" s="12" t="str"/>
      <x:c r="BP854" s="12" t="str"/>
      <x:c r="BQ854" s="12" t="str"/>
    </x:row>
    <x:row r="855">
      <x:c r="A855" s="9" t="str">
        <x:v>pc-208</x:v>
      </x:c>
      <x:c r="B855" s="9" t="str">
        <x:v>night-book</x:v>
      </x:c>
      <x:c r="C855" s="9" t="str">
        <x:v>PC</x:v>
      </x:c>
      <x:c r="D855" s="9" t="str">
        <x:v>Night Book</x:v>
      </x:c>
      <x:c r="E855" s="9" t="str"/>
      <x:c r="F855" s="9" t="str">
        <x:v>Wales Interactive, Good Gate Media</x:v>
      </x:c>
      <x:c r="G855" s="9" t="str">
        <x:v>Wales Interactive</x:v>
      </x:c>
      <x:c r="H855" s="9" t="n">
        <x:v>2021</x:v>
      </x:c>
      <x:c r="I855" s="9" t="str">
        <x:v>Yes</x:v>
      </x:c>
      <x:c r="J855" s="9" t="str">
        <x:v>No</x:v>
      </x:c>
      <x:c r="K855" s="9" t="str">
        <x:v>Yes</x:v>
      </x:c>
      <x:c r="L855" s="9" t="str">
        <x:v>No</x:v>
      </x:c>
      <x:c r="M855" s="9" t="str">
        <x:v>Occult horror interactive movie</x:v>
      </x:c>
      <x:c r="N855" s="9" t="str">
        <x:v>Live-action</x:v>
      </x:c>
      <x:c r="O855" s="9" t="n">
        <x:v>10</x:v>
      </x:c>
      <x:c r="P855" s="9" t="str">
        <x:v>Interactive movie</x:v>
      </x:c>
      <x:c r="Q855" s="9" t="str">
        <x:v>Released</x:v>
      </x:c>
      <x:c r="R855" s="9" t="str">
        <x:v>Original production</x:v>
      </x:c>
      <x:c r="S855" s="9" t="str">
        <x:v>macOS, PS4, PS5, Xbox One, Xbox Series, Switch, iOS, Android</x:v>
      </x:c>
      <x:c r="T855" s="9" t="str">
        <x:v>Julie Dray (Loralei), Colin Salmon (verify)</x:v>
      </x:c>
      <x:c r="U855" s="9" t="n">
        <x:v>0</x:v>
      </x:c>
      <x:c r="V855" s="9" t="str">
        <x:v>Yes</x:v>
      </x:c>
      <x:c r="W855" s="9" t="str">
        <x:v>Win 7, 4 GB RAM (verify)</x:v>
      </x:c>
      <x:c r="X855" s="9" t="str">
        <x:v>Low</x:v>
      </x:c>
      <x:c r="Y855" s="9" t="str"/>
      <x:c r="Z855" s="9" t="str">
        <x:v>1 hr per run</x:v>
      </x:c>
      <x:c r="AA855" s="9" t="str">
        <x:v>A translator on a night-shift video call accidentally summons a demon, all told in real time on screen.</x:v>
      </x:c>
      <x:c r="AB855" s="9" t="str">
        <x:v>None known</x:v>
      </x:c>
      <x:c r="AC855" s="9" t="str">
        <x:v>1080p live action framed as video calls, real-time branching</x:v>
      </x:c>
      <x:c r="AD855" s="9" t="str">
        <x:v>None; choices only</x:v>
      </x:c>
      <x:c r="AE855" s="9" t="str">
        <x:v>Multiple endings (count verify)</x:v>
      </x:c>
      <x:c r="AF855" s="9" t="str">
        <x:v>Shot remotely during the pandemic, like Five Dates, by the same Wales Interactive/Good Gate team.</x:v>
      </x:c>
      <x:c r="AG855" s="9" t="str">
        <x:v>Digital</x:v>
      </x:c>
      <x:c r="AH855" s="9" t="str">
        <x:v>Yes (Steam, Epic; consoles, mobile)</x:v>
      </x:c>
      <x:c r="AI855" s="9" t="str">
        <x:v>Easy</x:v>
      </x:c>
      <x:c r="AJ855" s="9" t="str">
        <x:v>Steam, Epic Games Store; also PS4/PS5, Xbox, Switch, iOS, Android</x:v>
      </x:c>
      <x:c r="AK855" s="9" t="str">
        <x:v>Released 27 Jul 2021. No platform-specific score confirmed (WebFetch budget ran out).</x:v>
      </x:c>
      <x:c r="AL855" s="10"/>
      <x:c r="AM855" s="10"/>
      <x:c r="AN855" s="10"/>
      <x:c r="AO855" s="9"/>
      <x:c r="AP855" s="11" t="str">
        <x:f>HYPERLINK("https://www.pricecharting.com/search-products?q=Night+Book+pc+games&amp;type=prices","PriceCharting")</x:f>
        <x:v>PriceCharting</x:v>
      </x:c>
      <x:c r="AQ855" s="9" t="n">
        <x:v>14.99</x:v>
      </x:c>
      <x:c r="AR855" s="11" t="str">
        <x:v>Steam</x:v>
      </x:c>
      <x:c r="AS855" s="9" t="str">
        <x:f>HYPERLINK("https://store.steampowered.com/app/1477920/","Store")</x:f>
        <x:v>Store</x:v>
      </x:c>
      <x:c r="AT855" s="9" t="str">
        <x:v>2026-10-24</x:v>
      </x:c>
      <x:c r="AU855" s="9"/>
      <x:c r="AV855" s="9"/>
      <x:c r="AW855" s="9"/>
      <x:c r="AX855" s="9"/>
      <x:c r="AY855" s="9"/>
      <x:c r="AZ855" s="9"/>
      <x:c r="BA855" s="11" t="str">
        <x:f>HYPERLINK("https://www.mobygames.com/game/168289/night-book/","MobyGames")</x:f>
        <x:v>MobyGames</x:v>
      </x:c>
      <x:c r="BB855" s="9" t="str"/>
      <x:c r="BC855" s="9" t="str"/>
      <x:c r="BD855" s="9"/>
      <x:c r="BE855" s="9"/>
      <x:c r="BF855" s="11" t="str">
        <x:f>HYPERLINK("https://backloggd.com/search/games/Night%20Book/","Backloggd")</x:f>
        <x:v>Backloggd</x:v>
      </x:c>
      <x:c r="BG855" s="9"/>
      <x:c r="BH855" s="9"/>
      <x:c r="BI855" s="12" t="str">
        <x:v>No</x:v>
      </x:c>
      <x:c r="BJ855" s="12" t="str"/>
      <x:c r="BK855" s="12" t="str">
        <x:v>No</x:v>
      </x:c>
      <x:c r="BL855" s="12" t="str"/>
      <x:c r="BM855" s="12" t="str"/>
      <x:c r="BN855" s="12" t="str"/>
      <x:c r="BO855" s="12" t="str"/>
      <x:c r="BP855" s="12" t="str"/>
      <x:c r="BQ855" s="12" t="str"/>
    </x:row>
    <x:row r="856">
      <x:c r="A856" s="9" t="str">
        <x:v>pc-209</x:v>
      </x:c>
      <x:c r="B856" s="9" t="str">
        <x:v>bloodshore</x:v>
      </x:c>
      <x:c r="C856" s="9" t="str">
        <x:v>PC</x:v>
      </x:c>
      <x:c r="D856" s="9" t="str">
        <x:v>Bloodshore</x:v>
      </x:c>
      <x:c r="E856" s="9" t="str"/>
      <x:c r="F856" s="9" t="str">
        <x:v>Wales Interactive, Good Gate Media, Wayout Pictures, Posterity Entertainment</x:v>
      </x:c>
      <x:c r="G856" s="9" t="str">
        <x:v>Wales Interactive</x:v>
      </x:c>
      <x:c r="H856" s="9" t="n">
        <x:v>2021</x:v>
      </x:c>
      <x:c r="I856" s="9" t="str">
        <x:v>Yes</x:v>
      </x:c>
      <x:c r="J856" s="9" t="str">
        <x:v>No</x:v>
      </x:c>
      <x:c r="K856" s="9" t="str">
        <x:v>Yes</x:v>
      </x:c>
      <x:c r="L856" s="9" t="str">
        <x:v>No</x:v>
      </x:c>
      <x:c r="M856" s="9" t="str">
        <x:v>Battle royale interactive movie</x:v>
      </x:c>
      <x:c r="N856" s="9" t="str">
        <x:v>Live-action</x:v>
      </x:c>
      <x:c r="O856" s="9" t="n">
        <x:v>10</x:v>
      </x:c>
      <x:c r="P856" s="9" t="str">
        <x:v>Interactive movie</x:v>
      </x:c>
      <x:c r="Q856" s="9" t="str">
        <x:v>Released</x:v>
      </x:c>
      <x:c r="R856" s="9" t="str">
        <x:v>Original production</x:v>
      </x:c>
      <x:c r="S856" s="9" t="str">
        <x:v>PS5, Xbox Series, Switch</x:v>
      </x:c>
      <x:c r="T856" s="9" t="str">
        <x:v>Unknown — verify</x:v>
      </x:c>
      <x:c r="U856" s="9" t="n">
        <x:v>0</x:v>
      </x:c>
      <x:c r="V856" s="9" t="str">
        <x:v>Yes</x:v>
      </x:c>
      <x:c r="W856" s="9" t="str">
        <x:v>Win 7, 4 GB RAM (verify)</x:v>
      </x:c>
      <x:c r="X856" s="9" t="str">
        <x:v>Low</x:v>
      </x:c>
      <x:c r="Y856" s="9" t="str"/>
      <x:c r="Z856" s="9" t="str">
        <x:v>1.5–2 hr per run</x:v>
      </x:c>
      <x:c r="AA856" s="9" t="str">
        <x:v>A televised battle royale on an island, shot as a B-movie, where you pick who lives.</x:v>
      </x:c>
      <x:c r="AB856" s="9" t="str">
        <x:v>None known</x:v>
      </x:c>
      <x:c r="AC856" s="9" t="str">
        <x:v>1080p live action, branching choices</x:v>
      </x:c>
      <x:c r="AD856" s="9" t="str">
        <x:v>None; choices only</x:v>
      </x:c>
      <x:c r="AE856" s="9" t="str">
        <x:v>Multiple endings (count verify)</x:v>
      </x:c>
      <x:c r="AF856" s="9" t="str">
        <x:v>A synthwave-scored riff on battle royale games and reality TV.</x:v>
      </x:c>
      <x:c r="AG856" s="9" t="str">
        <x:v>Digital</x:v>
      </x:c>
      <x:c r="AH856" s="9" t="str">
        <x:v>Yes (Steam; consoles)</x:v>
      </x:c>
      <x:c r="AI856" s="9" t="str">
        <x:v>Easy</x:v>
      </x:c>
      <x:c r="AJ856" s="9" t="str">
        <x:v>Steam; also PS5, Xbox Series, Switch</x:v>
      </x:c>
      <x:c r="AK856" s="9" t="str">
        <x:v>Released 3 Nov 2021. OpenCritic top critic average 55 (19 critics); no Metacritic PC score confirmed. Cast not confirmed (WebFetch budget ran out); MobyGames has a Windows credits page.</x:v>
      </x:c>
      <x:c r="AL856" s="10"/>
      <x:c r="AM856" s="10"/>
      <x:c r="AN856" s="10"/>
      <x:c r="AO856" s="9"/>
      <x:c r="AP856" s="11" t="str">
        <x:f>HYPERLINK("https://www.pricecharting.com/search-products?q=Bloodshore+pc+games&amp;type=prices","PriceCharting")</x:f>
        <x:v>PriceCharting</x:v>
      </x:c>
      <x:c r="AQ856" s="9" t="n">
        <x:v>14.99</x:v>
      </x:c>
      <x:c r="AR856" s="11" t="str">
        <x:v>Steam</x:v>
      </x:c>
      <x:c r="AS856" s="9" t="str">
        <x:f>HYPERLINK("https://store.steampowered.com/app/1490840/","Store")</x:f>
        <x:v>Store</x:v>
      </x:c>
      <x:c r="AT856" s="9" t="str">
        <x:v>2026-10-24</x:v>
      </x:c>
      <x:c r="AU856" s="9"/>
      <x:c r="AV856" s="9"/>
      <x:c r="AW856" s="9"/>
      <x:c r="AX856" s="9"/>
      <x:c r="AY856" s="9"/>
      <x:c r="AZ856" s="9"/>
      <x:c r="BA856" s="11" t="str">
        <x:f>HYPERLINK("https://www.mobygames.com/game/174851/bloodshore/","MobyGames")</x:f>
        <x:v>MobyGames</x:v>
      </x:c>
      <x:c r="BB856" s="9" t="str"/>
      <x:c r="BC856" s="9" t="str"/>
      <x:c r="BD856" s="9"/>
      <x:c r="BE856" s="9"/>
      <x:c r="BF856" s="11" t="str">
        <x:f>HYPERLINK("https://backloggd.com/search/games/Bloodshore/","Backloggd")</x:f>
        <x:v>Backloggd</x:v>
      </x:c>
      <x:c r="BG856" s="9"/>
      <x:c r="BH856" s="9"/>
      <x:c r="BI856" s="12" t="str">
        <x:v>No</x:v>
      </x:c>
      <x:c r="BJ856" s="12" t="str"/>
      <x:c r="BK856" s="12" t="str">
        <x:v>No</x:v>
      </x:c>
      <x:c r="BL856" s="12" t="str"/>
      <x:c r="BM856" s="12" t="str"/>
      <x:c r="BN856" s="12" t="str"/>
      <x:c r="BO856" s="12" t="str"/>
      <x:c r="BP856" s="12" t="str"/>
      <x:c r="BQ856" s="12" t="str"/>
    </x:row>
    <x:row r="857">
      <x:c r="A857" s="9" t="str">
        <x:v>pc-210</x:v>
      </x:c>
      <x:c r="B857" s="9" t="str">
        <x:v>immortality</x:v>
      </x:c>
      <x:c r="C857" s="9" t="str">
        <x:v>PC</x:v>
      </x:c>
      <x:c r="D857" s="9" t="str">
        <x:v>Immortality</x:v>
      </x:c>
      <x:c r="E857" s="9" t="str"/>
      <x:c r="F857" s="9" t="str">
        <x:v>Sam Barlow (Half Mermaid)</x:v>
      </x:c>
      <x:c r="G857" s="9" t="str">
        <x:v>Half Mermaid Productions</x:v>
      </x:c>
      <x:c r="H857" s="9" t="n">
        <x:v>2022</x:v>
      </x:c>
      <x:c r="I857" s="9" t="str">
        <x:v>Yes</x:v>
      </x:c>
      <x:c r="J857" s="9" t="str">
        <x:v>Yes</x:v>
      </x:c>
      <x:c r="K857" s="9" t="str">
        <x:v>Yes</x:v>
      </x:c>
      <x:c r="L857" s="9" t="str">
        <x:v>No</x:v>
      </x:c>
      <x:c r="M857" s="9" t="str">
        <x:v>Interactive film / footage investigation</x:v>
      </x:c>
      <x:c r="N857" s="9" t="str">
        <x:v>Live-action</x:v>
      </x:c>
      <x:c r="O857" s="9" t="n">
        <x:v>10</x:v>
      </x:c>
      <x:c r="P857" s="9" t="str">
        <x:v>FMV adventure</x:v>
      </x:c>
      <x:c r="Q857" s="9" t="str">
        <x:v>Released</x:v>
      </x:c>
      <x:c r="R857" s="9" t="str">
        <x:v>Original production</x:v>
      </x:c>
      <x:c r="S857" s="9" t="str">
        <x:v>Xbox Series X/S (2022), Android/iOS via Netflix (2022), macOS (2023), PS5 (2024)</x:v>
      </x:c>
      <x:c r="T857" s="9" t="str">
        <x:v>Manon Gage (Marissa Marcel), Charlotta Mohlin (The One), Jocelin Donahue (Amy Archer), Hans Christopher (John Durick), John Earl Robinson (Arthur Fischer)</x:v>
      </x:c>
      <x:c r="U857" s="9" t="n">
        <x:v>0</x:v>
      </x:c>
      <x:c r="V857" s="9" t="str">
        <x:v>Yes</x:v>
      </x:c>
      <x:c r="W857" s="9" t="str">
        <x:v>Win 10 64-bit, 8 GB RAM, DirectX 12 (verify); also macOS</x:v>
      </x:c>
      <x:c r="X857" s="9" t="str">
        <x:v>Low</x:v>
      </x:c>
      <x:c r="Y857" s="9" t="str"/>
      <x:c r="Z857" s="9" t="str">
        <x:v>6–10 hr</x:v>
      </x:c>
      <x:c r="AA857" s="9" t="str">
        <x:v>Three lost films and one vanished actress: click on any face or object in a frame to jump to the hidden footage behind it.</x:v>
      </x:c>
      <x:c r="AB857" s="9" t="str">
        <x:v>None known</x:v>
      </x:c>
      <x:c r="AC857" s="9" t="str">
        <x:v>4K-mastered live action (verify), match-cut navigation from paused frames; film, rehearsal and TV footage</x:v>
      </x:c>
      <x:c r="AD857" s="9" t="str">
        <x:v>Easy to play, hard to see everything</x:v>
      </x:c>
      <x:c r="AE857" s="9" t="str">
        <x:v>Open; credits roll once enough hidden footage is found</x:v>
      </x:c>
      <x:c r="AF857" s="9" t="str">
        <x:v>Its three film scripts ran 400 pages and were shot in about 10 weeks in Los Angeles in 2021; it premiered at Tribeca.</x:v>
      </x:c>
      <x:c r="AG857" s="9" t="str">
        <x:v>Digital (Game Pass at launch; Netflix Games on mobile)</x:v>
      </x:c>
      <x:c r="AH857" s="9" t="str">
        <x:v>Yes (Steam, Microsoft Store/Game Pass; Netflix mobile, PS5, macOS)</x:v>
      </x:c>
      <x:c r="AI857" s="9" t="str">
        <x:v>Easy</x:v>
      </x:c>
      <x:c r="AJ857" s="9" t="str">
        <x:v>Steam, Microsoft Store/PC Game Pass; also Xbox Series, PS5, macOS, Netflix (iOS/Android)</x:v>
      </x:c>
      <x:c r="AK857" s="9" t="str">
        <x:v>Won BAFTA Narrative, IGF Excellence in Narrative, GDC Innovation Award; Golden Joystick Best Performer (Manon Gage). Metacritic: PC 87 (42), Xbox Series 88 (15), PS5 84 (9).</x:v>
      </x:c>
      <x:c r="AL857" s="10"/>
      <x:c r="AM857" s="10"/>
      <x:c r="AN857" s="10"/>
      <x:c r="AO857" s="9"/>
      <x:c r="AP857" s="11" t="str">
        <x:f>HYPERLINK("https://www.pricecharting.com/search-products?q=Immortality+pc+games&amp;type=prices","PriceCharting")</x:f>
        <x:v>PriceCharting</x:v>
      </x:c>
      <x:c r="AQ857" s="9" t="n">
        <x:v>11.99</x:v>
      </x:c>
      <x:c r="AR857" s="11" t="str">
        <x:v>GOG</x:v>
      </x:c>
      <x:c r="AS857" s="9" t="str">
        <x:f>HYPERLINK("https://www.gog.com/en/game/immortality","Store")</x:f>
        <x:v>Store</x:v>
      </x:c>
      <x:c r="AT857" s="9" t="str">
        <x:v>2026-10-24</x:v>
      </x:c>
      <x:c r="AU857" s="9"/>
      <x:c r="AV857" s="9"/>
      <x:c r="AW857" s="9"/>
      <x:c r="AX857" s="9"/>
      <x:c r="AY857" s="9"/>
      <x:c r="AZ857" s="9"/>
      <x:c r="BA857" s="11" t="str">
        <x:f>HYPERLINK("https://www.mobygames.com/search/?q=Immortality","MobyGames")</x:f>
        <x:v>MobyGames</x:v>
      </x:c>
      <x:c r="BB857" s="9" t="str">
        <x:v>87%</x:v>
      </x:c>
      <x:c r="BC857" s="9" t="str">
        <x:v>Metacritic (PC), 42 reviews</x:v>
      </x:c>
      <x:c r="BD857" s="9" t="str">
        <x:f>HYPERLINK("https://www.metacritic.com/game/immortality/","Source")</x:f>
        <x:v>Source</x:v>
      </x:c>
      <x:c r="BE857" s="11" t="str">
        <x:f>HYPERLINK("https://en.wikipedia.org/wiki/Immortality_(video_game)","Wikipedia")</x:f>
        <x:v>Wikipedia</x:v>
      </x:c>
      <x:c r="BF857" s="11" t="str">
        <x:f>HYPERLINK("https://backloggd.com/search/games/Immortality/","Backloggd")</x:f>
        <x:v>Backloggd</x:v>
      </x:c>
      <x:c r="BG857" s="9"/>
      <x:c r="BH857" s="9"/>
      <x:c r="BI857" s="12" t="str">
        <x:v>No</x:v>
      </x:c>
      <x:c r="BJ857" s="12" t="str"/>
      <x:c r="BK857" s="12" t="str">
        <x:v>No</x:v>
      </x:c>
      <x:c r="BL857" s="12" t="str"/>
      <x:c r="BM857" s="12" t="str"/>
      <x:c r="BN857" s="12" t="str"/>
      <x:c r="BO857" s="12" t="str"/>
      <x:c r="BP857" s="12" t="str"/>
      <x:c r="BQ857" s="12" t="str"/>
    </x:row>
    <x:row r="858">
      <x:c r="A858" s="9" t="str">
        <x:v>pc-211</x:v>
      </x:c>
      <x:c r="B858" s="9" t="str">
        <x:v>not-for-broadcast</x:v>
      </x:c>
      <x:c r="C858" s="9" t="str">
        <x:v>PC</x:v>
      </x:c>
      <x:c r="D858" s="9" t="str">
        <x:v>Not For Broadcast</x:v>
      </x:c>
      <x:c r="E858" s="9" t="str"/>
      <x:c r="F858" s="9" t="str">
        <x:v>NotGames</x:v>
      </x:c>
      <x:c r="G858" s="9" t="str">
        <x:v>tinyBuild</x:v>
      </x:c>
      <x:c r="H858" s="9" t="n">
        <x:v>2020</x:v>
      </x:c>
      <x:c r="I858" s="9" t="str">
        <x:v>Yes</x:v>
      </x:c>
      <x:c r="J858" s="9" t="str">
        <x:v>No</x:v>
      </x:c>
      <x:c r="K858" s="9" t="str">
        <x:v>Yes</x:v>
      </x:c>
      <x:c r="L858" s="9" t="str">
        <x:v>No</x:v>
      </x:c>
      <x:c r="M858" s="9" t="str">
        <x:v>Live TV broadcast simulation</x:v>
      </x:c>
      <x:c r="N858" s="9" t="str">
        <x:v>Live-action</x:v>
      </x:c>
      <x:c r="O858" s="9" t="n">
        <x:v>8</x:v>
      </x:c>
      <x:c r="P858" s="9" t="str">
        <x:v>Interactive movie</x:v>
      </x:c>
      <x:c r="Q858" s="9" t="str">
        <x:v>Released</x:v>
      </x:c>
      <x:c r="R858" s="9" t="str">
        <x:v>Original production</x:v>
      </x:c>
      <x:c r="S858" s="9" t="str">
        <x:v>PS4, PS5, Xbox One, Xbox Series, Meta Quest 2 (VR) (2023)</x:v>
      </x:c>
      <x:c r="T858" s="9" t="str">
        <x:v>Paul Baverstock (Jeremy Donaldson), Jonathan Hawkins (Alan James), Andrea Valls (Megan Wolfe), Roger Alborough (Peter Clement), Claire Racklyeft (Julia Salisbury)</x:v>
      </x:c>
      <x:c r="U858" s="9" t="n">
        <x:v>0</x:v>
      </x:c>
      <x:c r="V858" s="9" t="str">
        <x:v>Yes</x:v>
      </x:c>
      <x:c r="W858" s="9" t="str">
        <x:v>Win 7 64-bit, 8 GB RAM (verify)</x:v>
      </x:c>
      <x:c r="X858" s="9" t="str">
        <x:v>Low</x:v>
      </x:c>
      <x:c r="Y858" s="9" t="str">
        <x:v>Original footage and music; tinyBuild allows streaming (verify)</x:v>
      </x:c>
      <x:c r="Z858" s="9" t="str">
        <x:v>15–20 hr</x:v>
      </x:c>
      <x:c r="AA858" s="9" t="str">
        <x:v>You're the vision mixer for the nightly news as a far-left government seizes power: cut cameras, bleep swearing, bury the scandal.</x:v>
      </x:c>
      <x:c r="AB858" s="9" t="str">
        <x:v>None known</x:v>
      </x:c>
      <x:c r="AC858" s="9" t="str">
        <x:v>1080p live action across several camera feeds mixed in real time on a control-room desk; 42+ hours of footage</x:v>
      </x:c>
      <x:c r="AD858" s="9" t="str">
        <x:v>Moderate; juggling feeds, bleeps and interference while the audience meter drains</x:v>
      </x:c>
      <x:c r="AE858" s="9" t="str">
        <x:v>Fourteen epilogues set by the final broadcast and which tapes you air</x:v>
      </x:c>
      <x:c r="AF858" s="9" t="str">
        <x:v>Guinness World Records lists it for the most FMV footage in a video game: 42 h 57 min 52 s.</x:v>
      </x:c>
      <x:c r="AG858" s="9" t="str">
        <x:v>Early access 2020–2022; console editions 2023; DLC Live &amp; Spooky, Bits of Your Life, The Timeloop; separate VR edition</x:v>
      </x:c>
      <x:c r="AH858" s="9" t="str">
        <x:v>Yes (Steam, GOG (verify); consoles)</x:v>
      </x:c>
      <x:c r="AI858" s="9" t="str">
        <x:v>Easy</x:v>
      </x:c>
      <x:c r="AJ858" s="9" t="str">
        <x:v>Steam; also PS4/PS5, Xbox, Meta Quest (VR edition)</x:v>
      </x:c>
      <x:c r="AK858" s="9" t="str">
        <x:v>Early access (Episode 1) 30 Jan 2020 on Windows; full release 25 Jan 2022. Video plays on monitors inside a 3D control-room desk, so fmv 8 rather than 10. Metacritic PC 82 (12 reviews). Nominated IGF Grand Prize 2023 and BAFTA Game Beyond Entertainment.</x:v>
      </x:c>
      <x:c r="AL858" s="10"/>
      <x:c r="AM858" s="10"/>
      <x:c r="AN858" s="10"/>
      <x:c r="AO858" s="9"/>
      <x:c r="AP858" s="11" t="str">
        <x:f>HYPERLINK("https://www.pricecharting.com/search-products?q=Not+For+Broadcast+pc+games&amp;type=prices","PriceCharting")</x:f>
        <x:v>PriceCharting</x:v>
      </x:c>
      <x:c r="AQ858" s="9" t="n">
        <x:v>6.49</x:v>
      </x:c>
      <x:c r="AR858" s="11" t="str">
        <x:v>GOG</x:v>
      </x:c>
      <x:c r="AS858" s="9" t="str">
        <x:f>HYPERLINK("https://www.gog.com/en/game/not_for_broadcast","Store")</x:f>
        <x:v>Store</x:v>
      </x:c>
      <x:c r="AT858" s="9" t="str">
        <x:v>2026-10-24</x:v>
      </x:c>
      <x:c r="AU858" s="9"/>
      <x:c r="AV858" s="9"/>
      <x:c r="AW858" s="9"/>
      <x:c r="AX858" s="9"/>
      <x:c r="AY858" s="9"/>
      <x:c r="AZ858" s="9"/>
      <x:c r="BA858" s="11" t="str">
        <x:f>HYPERLINK("https://www.mobygames.com/game/141682/not-for-broadcast/","MobyGames")</x:f>
        <x:v>MobyGames</x:v>
      </x:c>
      <x:c r="BB858" s="9" t="str">
        <x:v>82%</x:v>
      </x:c>
      <x:c r="BC858" s="9" t="str">
        <x:v>Metacritic (PC), 12 reviews</x:v>
      </x:c>
      <x:c r="BD858" s="9" t="str">
        <x:f>HYPERLINK("https://www.metacritic.com/game/not-for-broadcast/","Source")</x:f>
        <x:v>Source</x:v>
      </x:c>
      <x:c r="BE858" s="11" t="str">
        <x:f>HYPERLINK("https://en.wikipedia.org/wiki/Not_for_Broadcast","Wikipedia")</x:f>
        <x:v>Wikipedia</x:v>
      </x:c>
      <x:c r="BF858" s="11" t="str">
        <x:f>HYPERLINK("https://backloggd.com/search/games/Not%20For%20Broadcast/","Backloggd")</x:f>
        <x:v>Backloggd</x:v>
      </x:c>
      <x:c r="BG858" s="9"/>
      <x:c r="BH858" s="9"/>
      <x:c r="BI858" s="12" t="str">
        <x:v>No</x:v>
      </x:c>
      <x:c r="BJ858" s="12" t="str"/>
      <x:c r="BK858" s="12" t="str">
        <x:v>No</x:v>
      </x:c>
      <x:c r="BL858" s="12" t="str"/>
      <x:c r="BM858" s="12" t="str"/>
      <x:c r="BN858" s="12" t="str"/>
      <x:c r="BO858" s="12" t="str"/>
      <x:c r="BP858" s="12" t="str"/>
      <x:c r="BQ858" s="12" t="str"/>
    </x:row>
    <x:row r="859">
      <x:c r="A859" s="9" t="str">
        <x:v>pc-212</x:v>
      </x:c>
      <x:c r="B859" s="9" t="str">
        <x:v>the-centennial-case-a-shijima-story</x:v>
      </x:c>
      <x:c r="C859" s="9" t="str">
        <x:v>PC</x:v>
      </x:c>
      <x:c r="D859" s="9" t="str">
        <x:v>The Centennial Case: A Shijima Story</x:v>
      </x:c>
      <x:c r="E859" s="9" t="str">
        <x:v>Haru Yukite Retrochica (春ゆきてレトロチカ)</x:v>
      </x:c>
      <x:c r="F859" s="9" t="str">
        <x:v>h.a.n.d.</x:v>
      </x:c>
      <x:c r="G859" s="9" t="str">
        <x:v>Square Enix</x:v>
      </x:c>
      <x:c r="H859" s="9" t="n">
        <x:v>2022</x:v>
      </x:c>
      <x:c r="I859" s="9" t="str">
        <x:v>Yes</x:v>
      </x:c>
      <x:c r="J859" s="9" t="str">
        <x:v>Yes</x:v>
      </x:c>
      <x:c r="K859" s="9" t="str">
        <x:v>Yes</x:v>
      </x:c>
      <x:c r="L859" s="9" t="str">
        <x:v>No</x:v>
      </x:c>
      <x:c r="M859" s="9" t="str">
        <x:v>Murder-mystery interactive movie</x:v>
      </x:c>
      <x:c r="N859" s="9" t="str">
        <x:v>Live-action</x:v>
      </x:c>
      <x:c r="O859" s="9" t="n">
        <x:v>8</x:v>
      </x:c>
      <x:c r="P859" s="9" t="str">
        <x:v>FMV adventure</x:v>
      </x:c>
      <x:c r="Q859" s="9" t="str">
        <x:v>Released</x:v>
      </x:c>
      <x:c r="R859" s="9" t="str">
        <x:v>Original production</x:v>
      </x:c>
      <x:c r="S859" s="9" t="str">
        <x:v>PS4, PS5, Switch, iOS, Android</x:v>
      </x:c>
      <x:c r="T859" s="9" t="str">
        <x:v>Haruka Kinami (Haruka Kagami) (verify); rest Unknown — verify</x:v>
      </x:c>
      <x:c r="U859" s="9" t="n">
        <x:v>0</x:v>
      </x:c>
      <x:c r="V859" s="9" t="str">
        <x:v>Yes</x:v>
      </x:c>
      <x:c r="W859" s="9" t="str">
        <x:v>Win 10 64-bit, 4 GB RAM (verify)</x:v>
      </x:c>
      <x:c r="X859" s="9" t="str">
        <x:v>Low</x:v>
      </x:c>
      <x:c r="Y859" s="9" t="str"/>
      <x:c r="Z859" s="9" t="str">
        <x:v>12–15 hr</x:v>
      </x:c>
      <x:c r="AA859" s="9" t="str">
        <x:v>Square Enix's live-action whodunit spanning a century of murders in one family, solved on a deduction board between scenes.</x:v>
      </x:c>
      <x:c r="AB859" s="9" t="str">
        <x:v>None known</x:v>
      </x:c>
      <x:c r="AC859" s="9" t="str">
        <x:v>1080p live action, linear film chapters with a CG 'Cognition Space' deduction board between them; Japanese audio, English subtitles</x:v>
      </x:c>
      <x:c r="AD859" s="9" t="str">
        <x:v>Moderate deduction puzzles; can be retried</x:v>
      </x:c>
      <x:c r="AE859" s="9" t="str">
        <x:v>One true solution per case; wrong deductions branch briefly (verify)</x:v>
      </x:c>
      <x:c r="AF859" s="9" t="str">
        <x:v>Directed by Koichiro Ito (Metal Gear Solid producer); cinematographer/scenario director Yasuhito Tachibana.</x:v>
      </x:c>
      <x:c r="AG859" s="9" t="str">
        <x:v>Physical PS4/PS5/Switch editions (verify)</x:v>
      </x:c>
      <x:c r="AH859" s="9" t="str">
        <x:v>Yes (Steam; consoles, mobile)</x:v>
      </x:c>
      <x:c r="AI859" s="9" t="str">
        <x:v>Easy</x:v>
      </x:c>
      <x:c r="AJ859" s="9" t="str">
        <x:v>Steam; also PS4/PS5, Switch, iOS, Android</x:v>
      </x:c>
      <x:c r="AK859" s="9" t="str">
        <x:v>Released 12 May 2022 on all platforms. Deduction board is a non-video puzzle layer, so fmv 8. MobyGames shows a combined 77% (13 ratings), not used. Metacritic: PC 69 (8), Switch 77 (10), PS5 71 (29).</x:v>
      </x:c>
      <x:c r="AL859" s="10"/>
      <x:c r="AM859" s="10"/>
      <x:c r="AN859" s="10"/>
      <x:c r="AO859" s="9"/>
      <x:c r="AP859" s="11" t="str">
        <x:f>HYPERLINK("https://www.pricecharting.com/search-products?q=The+Centennial+Case%3A+A+Shijima+Story+pc+games&amp;type=prices","PriceCharting")</x:f>
        <x:v>PriceCharting</x:v>
      </x:c>
      <x:c r="AQ859" s="9" t="n">
        <x:v>49.99</x:v>
      </x:c>
      <x:c r="AR859" s="11" t="str">
        <x:v>Steam</x:v>
      </x:c>
      <x:c r="AS859" s="9" t="str">
        <x:f>HYPERLINK("https://store.steampowered.com/app/1612780/","Store")</x:f>
        <x:v>Store</x:v>
      </x:c>
      <x:c r="AT859" s="9" t="str">
        <x:v>2026-10-24</x:v>
      </x:c>
      <x:c r="AU859" s="9"/>
      <x:c r="AV859" s="9"/>
      <x:c r="AW859" s="9"/>
      <x:c r="AX859" s="9"/>
      <x:c r="AY859" s="9"/>
      <x:c r="AZ859" s="9"/>
      <x:c r="BA859" s="11" t="str">
        <x:f>HYPERLINK("https://www.mobygames.com/game/183813/the-centennial-case-a-shijima-story/","MobyGames")</x:f>
        <x:v>MobyGames</x:v>
      </x:c>
      <x:c r="BB859" s="9" t="str">
        <x:v>69%</x:v>
      </x:c>
      <x:c r="BC859" s="9" t="str">
        <x:v>Metacritic (PC), 8 reviews</x:v>
      </x:c>
      <x:c r="BD859" s="9" t="str">
        <x:f>HYPERLINK("https://www.metacritic.com/game/the-centennial-case-a-shijima-story/","Source")</x:f>
        <x:v>Source</x:v>
      </x:c>
      <x:c r="BE859" s="9"/>
      <x:c r="BF859" s="11" t="str">
        <x:f>HYPERLINK("https://backloggd.com/search/games/The%20Centennial%20Case%3A%20A%20Shijima%20Story/","Backloggd")</x:f>
        <x:v>Backloggd</x:v>
      </x:c>
      <x:c r="BG859" s="9"/>
      <x:c r="BH859" s="9"/>
      <x:c r="BI859" s="12" t="str">
        <x:v>No</x:v>
      </x:c>
      <x:c r="BJ859" s="12" t="str"/>
      <x:c r="BK859" s="12" t="str">
        <x:v>No</x:v>
      </x:c>
      <x:c r="BL859" s="12" t="str"/>
      <x:c r="BM859" s="12" t="str"/>
      <x:c r="BN859" s="12" t="str"/>
      <x:c r="BO859" s="12" t="str"/>
      <x:c r="BP859" s="12" t="str"/>
      <x:c r="BQ859" s="12" t="str"/>
    </x:row>
    <x:row r="860">
      <x:c r="A860" s="9" t="str">
        <x:v>pc-213</x:v>
      </x:c>
      <x:c r="B860" s="9" t="str">
        <x:v>who-pressed-mute-on-uncle-marcus</x:v>
      </x:c>
      <x:c r="C860" s="9" t="str">
        <x:v>PC</x:v>
      </x:c>
      <x:c r="D860" s="9" t="str">
        <x:v>Who Pressed Mute on Uncle Marcus?</x:v>
      </x:c>
      <x:c r="E860" s="9" t="str"/>
      <x:c r="F860" s="9" t="str">
        <x:v>Good Gate Media, Wales Interactive</x:v>
      </x:c>
      <x:c r="G860" s="9" t="str">
        <x:v>Wales Interactive</x:v>
      </x:c>
      <x:c r="H860" s="9" t="n">
        <x:v>2022</x:v>
      </x:c>
      <x:c r="I860" s="9" t="str">
        <x:v>Yes</x:v>
      </x:c>
      <x:c r="J860" s="9" t="str">
        <x:v>Yes</x:v>
      </x:c>
      <x:c r="K860" s="9" t="str">
        <x:v>Yes</x:v>
      </x:c>
      <x:c r="L860" s="9" t="str">
        <x:v>No</x:v>
      </x:c>
      <x:c r="M860" s="9" t="str">
        <x:v>FMV murder mystery</x:v>
      </x:c>
      <x:c r="N860" s="9" t="str">
        <x:v>Live-action</x:v>
      </x:c>
      <x:c r="O860" s="9" t="n">
        <x:v>10</x:v>
      </x:c>
      <x:c r="P860" s="9" t="str">
        <x:v>Interactive movie</x:v>
      </x:c>
      <x:c r="Q860" s="9" t="str">
        <x:v>Released</x:v>
      </x:c>
      <x:c r="R860" s="9" t="str">
        <x:v>Original production (Good Gate Media)</x:v>
      </x:c>
      <x:c r="S860" s="9" t="str">
        <x:v>macOS, PS4, PS5, Xbox One, Xbox Series X|S, Switch, iOS, Android (verify console dates)</x:v>
      </x:c>
      <x:c r="T860" s="9" t="str">
        <x:v>Andy Buckley (Uncle Marcus), Abigail Hardingham (Abby), Susannah Doyle, Robbie Kay, Gabrielle Glaister, Georgia Small, Al Weaver</x:v>
      </x:c>
      <x:c r="U860" s="9" t="n">
        <x:v>0</x:v>
      </x:c>
      <x:c r="V860" s="9" t="str">
        <x:v>Yes</x:v>
      </x:c>
      <x:c r="W860" s="9" t="str">
        <x:v>Win 7, 2 GB RAM, DirectX 11, 11 GB; also macOS 10.13+</x:v>
      </x:c>
      <x:c r="X860" s="9" t="str">
        <x:v>Low</x:v>
      </x:c>
      <x:c r="Y860" s="9" t="str"/>
      <x:c r="Z860" s="9" t="str">
        <x:v>1–2 hr per run</x:v>
      </x:c>
      <x:c r="AA860" s="9" t="str">
        <x:v>A family Zoom quiz turns into a murder hunt: Uncle Marcus has been poisoned and Abby has until he dies to find out which relative did it.</x:v>
      </x:c>
      <x:c r="AB860" s="9" t="str">
        <x:v>None known</x:v>
      </x:c>
      <x:c r="AC860" s="9" t="str">
        <x:v>Live-action video, 1080p (verify); branching choices on a video call, the whole game is footage</x:v>
      </x:c>
      <x:c r="AD860" s="9" t="str">
        <x:v>Easy; the challenge is spotting clues across replays</x:v>
      </x:c>
      <x:c r="AE860" s="9" t="str">
        <x:v>Multiple endings depending on whom Abby accuses and how she gets there (count verify)</x:v>
      </x:c>
      <x:c r="AF860" s="9" t="str">
        <x:v>Shot as a lockdown-era video call; Andy Buckley is best known as David Wallace in the US version of The Office.</x:v>
      </x:c>
      <x:c r="AG860" s="9" t="str">
        <x:v>Digital only (verify any physical console edition); sold in Wales Interactive FMV bundles on Steam</x:v>
      </x:c>
      <x:c r="AH860" s="9" t="str">
        <x:v>Yes (Steam)</x:v>
      </x:c>
      <x:c r="AI860" s="9" t="str">
        <x:v>Easy</x:v>
      </x:c>
      <x:c r="AJ860" s="9" t="str">
        <x:v>Steam (Windows/macOS); also on PlayStation, Xbox, Switch and phones</x:v>
      </x:c>
      <x:c r="AK860" s="9" t="str">
        <x:v>Released 18 Mar 2022 on Steam (Windows/macOS). Steam user reviews 71% positive of 673 (Mostly Positive). Thumb Culture Gold award; Finger Guns 9/10, IGN France 8/10 quoted on the store page. Director credit not confirmed (Good Gate Media's Paul Raschid, verify). Metacritic score not checked (web-fetch budget).</x:v>
      </x:c>
      <x:c r="AL860" s="10"/>
      <x:c r="AM860" s="10"/>
      <x:c r="AN860" s="10"/>
      <x:c r="AO860" s="9"/>
      <x:c r="AP860" s="11" t="str">
        <x:f>HYPERLINK("https://www.pricecharting.com/search-products?q=Who+Pressed+Mute+on+Uncle+Marcus%3F+pc+games&amp;type=prices","PriceCharting")</x:f>
        <x:v>PriceCharting</x:v>
      </x:c>
      <x:c r="AQ860" s="9" t="n">
        <x:v>14.99</x:v>
      </x:c>
      <x:c r="AR860" s="11" t="str">
        <x:v>Steam</x:v>
      </x:c>
      <x:c r="AS860" s="9" t="str">
        <x:f>HYPERLINK("https://store.steampowered.com/app/1628130/","Store")</x:f>
        <x:v>Store</x:v>
      </x:c>
      <x:c r="AT860" s="9" t="str">
        <x:v>2026-10-24</x:v>
      </x:c>
      <x:c r="AU860" s="9"/>
      <x:c r="AV860" s="9"/>
      <x:c r="AW860" s="9"/>
      <x:c r="AX860" s="9"/>
      <x:c r="AY860" s="9"/>
      <x:c r="AZ860" s="9"/>
      <x:c r="BA860" s="11" t="str">
        <x:f>HYPERLINK("https://www.mobygames.com/search/?q=Who+Pressed+Mute+on+Uncle+Marcus%3F","MobyGames")</x:f>
        <x:v>MobyGames</x:v>
      </x:c>
      <x:c r="BB860" s="9" t="str"/>
      <x:c r="BC860" s="9" t="str"/>
      <x:c r="BD860" s="9"/>
      <x:c r="BE860" s="9"/>
      <x:c r="BF860" s="11" t="str">
        <x:f>HYPERLINK("https://backloggd.com/search/games/Who%20Pressed%20Mute%20on%20Uncle%20Marcus%3F/","Backloggd")</x:f>
        <x:v>Backloggd</x:v>
      </x:c>
      <x:c r="BG860" s="9"/>
      <x:c r="BH860" s="9"/>
      <x:c r="BI860" s="12" t="str">
        <x:v>No</x:v>
      </x:c>
      <x:c r="BJ860" s="12" t="str"/>
      <x:c r="BK860" s="12" t="str">
        <x:v>No</x:v>
      </x:c>
      <x:c r="BL860" s="12" t="str"/>
      <x:c r="BM860" s="12" t="str"/>
      <x:c r="BN860" s="12" t="str"/>
      <x:c r="BO860" s="12" t="str"/>
      <x:c r="BP860" s="12" t="str"/>
      <x:c r="BQ860" s="12" t="str"/>
    </x:row>
    <x:row r="861">
      <x:c r="A861" s="9" t="str">
        <x:v>pc-214</x:v>
      </x:c>
      <x:c r="B861" s="9" t="str">
        <x:v>ten-dates</x:v>
      </x:c>
      <x:c r="C861" s="9" t="str">
        <x:v>PC</x:v>
      </x:c>
      <x:c r="D861" s="9" t="str">
        <x:v>Ten Dates</x:v>
      </x:c>
      <x:c r="E861" s="9" t="str"/>
      <x:c r="F861" s="9" t="str">
        <x:v>Good Gate Media, Wales Interactive</x:v>
      </x:c>
      <x:c r="G861" s="9" t="str">
        <x:v>Wales Interactive</x:v>
      </x:c>
      <x:c r="H861" s="9" t="n">
        <x:v>2023</x:v>
      </x:c>
      <x:c r="I861" s="9" t="str">
        <x:v>Yes</x:v>
      </x:c>
      <x:c r="J861" s="9" t="str">
        <x:v>Yes</x:v>
      </x:c>
      <x:c r="K861" s="9" t="str">
        <x:v>Yes</x:v>
      </x:c>
      <x:c r="L861" s="9" t="str">
        <x:v>No</x:v>
      </x:c>
      <x:c r="M861" s="9" t="str">
        <x:v>FMV romantic comedy / dating sim</x:v>
      </x:c>
      <x:c r="N861" s="9" t="str">
        <x:v>Live-action</x:v>
      </x:c>
      <x:c r="O861" s="9" t="n">
        <x:v>10</x:v>
      </x:c>
      <x:c r="P861" s="9" t="str">
        <x:v>Interactive movie</x:v>
      </x:c>
      <x:c r="Q861" s="9" t="str">
        <x:v>Released</x:v>
      </x:c>
      <x:c r="R861" s="9" t="str">
        <x:v>Original production; sequel to Five Dates (2020)</x:v>
      </x:c>
      <x:c r="S861" s="9" t="str">
        <x:v>PS4, PS5, Xbox One, Xbox Series X|S, Switch, iOS, Android (verify), macOS (verify)</x:v>
      </x:c>
      <x:c r="T861" s="9" t="str">
        <x:v>Rob Mallard (Ryan) and Charlotte Jordan (Misha) (verify); ten speed-dating partners</x:v>
      </x:c>
      <x:c r="U861" s="9" t="n">
        <x:v>0</x:v>
      </x:c>
      <x:c r="V861" s="9" t="str">
        <x:v>Yes</x:v>
      </x:c>
      <x:c r="W861" s="9" t="str">
        <x:v>Windows; minimum spec not checked (verify; Wales Interactive FMV titles list Win 7, 2 GB RAM)</x:v>
      </x:c>
      <x:c r="X861" s="9" t="str">
        <x:v>Low</x:v>
      </x:c>
      <x:c r="Y861" s="9" t="str"/>
      <x:c r="Z861" s="9" t="str">
        <x:v>1–2 hr per run</x:v>
      </x:c>
      <x:c r="AA861" s="9" t="str">
        <x:v>Two London best friends hit a speed-dating night and you steer every awkward, funny conversation of both of their dates.</x:v>
      </x:c>
      <x:c r="AB861" s="9" t="str">
        <x:v>None known</x:v>
      </x:c>
      <x:c r="AC861" s="9" t="str">
        <x:v>Live-action video, 1080p (verify); branching dialogue choices made during the footage</x:v>
      </x:c>
      <x:c r="AD861" s="9" t="str">
        <x:v>None to speak of; choices only</x:v>
      </x:c>
      <x:c r="AE861" s="9" t="str">
        <x:v>Multiple endings for each of the two leads depending on whom they match with (count verify)</x:v>
      </x:c>
      <x:c r="AF861" s="9" t="str">
        <x:v>The sequel to Five Dates, the lockdown video-call dating game; this time the dates happen in person at a speed-dating event.</x:v>
      </x:c>
      <x:c r="AG861" s="9" t="str">
        <x:v>Digital; Switch version announced Dec 2022 for 2023 (physical edition verify)</x:v>
      </x:c>
      <x:c r="AH861" s="9" t="str">
        <x:v>Yes (Steam)</x:v>
      </x:c>
      <x:c r="AI861" s="9" t="str">
        <x:v>Easy</x:v>
      </x:c>
      <x:c r="AJ861" s="9" t="str">
        <x:v>Steam; also PlayStation, Xbox, Switch and phones</x:v>
      </x:c>
      <x:c r="AK861" s="9" t="str">
        <x:v>Released 13 Feb 2023 on Steam (SteamSpy), timed for Valentine's Day. Steam user score about 79%. SteamSpy owners estimate 20,000–50,000. Lead actors not confirmed from a source in this pass (web-fetch budget ran out); both are Coronation Street actors if correct.</x:v>
      </x:c>
      <x:c r="AL861" s="10"/>
      <x:c r="AM861" s="10"/>
      <x:c r="AN861" s="10"/>
      <x:c r="AO861" s="9"/>
      <x:c r="AP861" s="11" t="str">
        <x:f>HYPERLINK("https://www.pricecharting.com/search-products?q=Ten+Dates+pc+games&amp;type=prices","PriceCharting")</x:f>
        <x:v>PriceCharting</x:v>
      </x:c>
      <x:c r="AQ861" s="9" t="n">
        <x:v>15.99</x:v>
      </x:c>
      <x:c r="AR861" s="11" t="str">
        <x:v>Steam</x:v>
      </x:c>
      <x:c r="AS861" s="9" t="str">
        <x:f>HYPERLINK("https://store.steampowered.com/app/1946070/","Store")</x:f>
        <x:v>Store</x:v>
      </x:c>
      <x:c r="AT861" s="9" t="str">
        <x:v>2026-10-24</x:v>
      </x:c>
      <x:c r="AU861" s="9"/>
      <x:c r="AV861" s="9"/>
      <x:c r="AW861" s="9"/>
      <x:c r="AX861" s="9"/>
      <x:c r="AY861" s="9"/>
      <x:c r="AZ861" s="9"/>
      <x:c r="BA861" s="11" t="str">
        <x:f>HYPERLINK("https://www.mobygames.com/search/?q=Ten+Dates","MobyGames")</x:f>
        <x:v>MobyGames</x:v>
      </x:c>
      <x:c r="BB861" s="9" t="str"/>
      <x:c r="BC861" s="9" t="str"/>
      <x:c r="BD861" s="9"/>
      <x:c r="BE861" s="9"/>
      <x:c r="BF861" s="11" t="str">
        <x:f>HYPERLINK("https://backloggd.com/search/games/Ten%20Dates/","Backloggd")</x:f>
        <x:v>Backloggd</x:v>
      </x:c>
      <x:c r="BG861" s="9"/>
      <x:c r="BH861" s="9"/>
      <x:c r="BI861" s="12" t="str">
        <x:v>No</x:v>
      </x:c>
      <x:c r="BJ861" s="12" t="str"/>
      <x:c r="BK861" s="12" t="str">
        <x:v>No</x:v>
      </x:c>
      <x:c r="BL861" s="12" t="str"/>
      <x:c r="BM861" s="12" t="str"/>
      <x:c r="BN861" s="12" t="str"/>
      <x:c r="BO861" s="12" t="str"/>
      <x:c r="BP861" s="12" t="str"/>
      <x:c r="BQ861" s="12" t="str"/>
    </x:row>
    <x:row r="862">
      <x:c r="A862" s="9" t="str">
        <x:v>pc-215</x:v>
      </x:c>
      <x:c r="B862" s="9" t="str">
        <x:v>murderous-muses</x:v>
      </x:c>
      <x:c r="C862" s="9" t="str">
        <x:v>PC</x:v>
      </x:c>
      <x:c r="D862" s="9" t="str">
        <x:v>Murderous Muses</x:v>
      </x:c>
      <x:c r="E862" s="9" t="str"/>
      <x:c r="F862" s="9" t="str">
        <x:v>D'Avekki Studios</x:v>
      </x:c>
      <x:c r="G862" s="9" t="str">
        <x:v>D'Avekki Studios</x:v>
      </x:c>
      <x:c r="H862" s="9" t="n">
        <x:v>2023</x:v>
      </x:c>
      <x:c r="I862" s="9" t="str">
        <x:v>Yes</x:v>
      </x:c>
      <x:c r="J862" s="9" t="str">
        <x:v>Yes</x:v>
      </x:c>
      <x:c r="K862" s="9" t="str">
        <x:v>Yes</x:v>
      </x:c>
      <x:c r="L862" s="9" t="str">
        <x:v>No</x:v>
      </x:c>
      <x:c r="M862" s="9" t="str">
        <x:v>FMV mystery / exploration</x:v>
      </x:c>
      <x:c r="N862" s="9" t="str">
        <x:v>Live-action + CG</x:v>
      </x:c>
      <x:c r="O862" s="9" t="n">
        <x:v>7</x:v>
      </x:c>
      <x:c r="P862" s="9" t="str">
        <x:v>FMV adventure</x:v>
      </x:c>
      <x:c r="Q862" s="9" t="str">
        <x:v>Released</x:v>
      </x:c>
      <x:c r="R862" s="9" t="str">
        <x:v>Original production (D'Avekki Studios' fourth FMV game, after Doctor Dekker, The Shapeshifting Detective and Dark Nights with Poe and Munro)</x:v>
      </x:c>
      <x:c r="S862" s="9" t="str">
        <x:v>macOS, Linux (verify), PS4, PS5, Xbox One, Xbox Series X|S, Switch</x:v>
      </x:c>
      <x:c r="T862" s="9" t="str">
        <x:v>Rupert Booth (Detective Salisbury), Aislinn De'Ath (Lilith Rendell), Anna Fraser (Sunday and Monday Finch), Beth Gatherer (Prof. Catherine Myers), Bex Finch (Dominique Serrant), David John-Bores (Xavier Haan), Rikki Stone (Otto Pipistrelle), Olivia Bourne (Sasha Venice), Klemens Koehring (Dr Crispin Howe)</x:v>
      </x:c>
      <x:c r="U862" s="9" t="n">
        <x:v>0</x:v>
      </x:c>
      <x:c r="V862" s="9" t="str">
        <x:v>Yes</x:v>
      </x:c>
      <x:c r="W862" s="9" t="str">
        <x:v>Win 7 64-bit, 2 GB RAM; also macOS 10.9+</x:v>
      </x:c>
      <x:c r="X862" s="9" t="str">
        <x:v>Low</x:v>
      </x:c>
      <x:c r="Y862" s="9" t="str"/>
      <x:c r="Z862" s="9" t="str">
        <x:v>2–4 hr per run; replayable (verify)</x:v>
      </x:c>
      <x:c r="AA862" s="9" t="str">
        <x:v>A night watchman in a haunted gallery questions six painted suspects, and the killer changes every time you play.</x:v>
      </x:c>
      <x:c r="AB862" s="9" t="str">
        <x:v>None known</x:v>
      </x:c>
      <x:c r="AC862" s="9" t="str">
        <x:v>Over 3 hours of live-action footage played as interviews and living paintings inside a procedurally arranged 3D gallery (resolution verify)</x:v>
      </x:c>
      <x:c r="AD862" s="9" t="str">
        <x:v>Moderate; limited questions per night and gallery puzzles</x:v>
      </x:c>
      <x:c r="AE862" s="9" t="str">
        <x:v>The murderer is reshuffled each playthrough (seeds can be shared); you accuse a suspect at the end of three nights</x:v>
      </x:c>
      <x:c r="AF862" s="9" t="str">
        <x:v>Like D'Avekki's earlier games, the culprit is randomised, so every scene is shot to work whether that suspect is guilty or not.</x:v>
      </x:c>
      <x:c r="AG862" s="9" t="str">
        <x:v>Digital; console versions followed on Switch (verify date)</x:v>
      </x:c>
      <x:c r="AH862" s="9" t="str">
        <x:v>Yes (Steam)</x:v>
      </x:c>
      <x:c r="AI862" s="9" t="str">
        <x:v>Easy</x:v>
      </x:c>
      <x:c r="AJ862" s="9" t="str">
        <x:v>Steam (Windows/macOS); also PlayStation, Xbox, Switch</x:v>
      </x:c>
      <x:c r="AK862" s="9" t="str">
        <x:v>Steam release 11 Apr 2023 (Windows/macOS); Steam users 74% of 70 positive. Digitally Downloaded 4.5/5. Not a pure video game: you walk a 3D gallery between FMV interviews. Metacritic/OpenCritic scores exist but were not read (budget).</x:v>
      </x:c>
      <x:c r="AL862" s="10"/>
      <x:c r="AM862" s="10"/>
      <x:c r="AN862" s="10"/>
      <x:c r="AO862" s="9"/>
      <x:c r="AP862" s="11" t="str">
        <x:f>HYPERLINK("https://www.pricecharting.com/search-products?q=Murderous+Muses+pc+games&amp;type=prices","PriceCharting")</x:f>
        <x:v>PriceCharting</x:v>
      </x:c>
      <x:c r="AQ862" s="9" t="n">
        <x:v>4.35</x:v>
      </x:c>
      <x:c r="AR862" s="11" t="str">
        <x:v>GOG</x:v>
      </x:c>
      <x:c r="AS862" s="9" t="str">
        <x:f>HYPERLINK("https://www.gog.com/en/game/murderous_muses","Store")</x:f>
        <x:v>Store</x:v>
      </x:c>
      <x:c r="AT862" s="9" t="str">
        <x:v>2026-10-24</x:v>
      </x:c>
      <x:c r="AU862" s="9"/>
      <x:c r="AV862" s="9"/>
      <x:c r="AW862" s="9"/>
      <x:c r="AX862" s="9"/>
      <x:c r="AY862" s="9"/>
      <x:c r="AZ862" s="9"/>
      <x:c r="BA862" s="11" t="str">
        <x:f>HYPERLINK("https://www.mobygames.com/search/?q=Murderous+Muses","MobyGames")</x:f>
        <x:v>MobyGames</x:v>
      </x:c>
      <x:c r="BB862" s="9" t="str"/>
      <x:c r="BC862" s="9" t="str"/>
      <x:c r="BD862" s="9" t="str">
        <x:f>HYPERLINK("https://opencritic.com/game/14765/murderous-muses","Source")</x:f>
        <x:v>Source</x:v>
      </x:c>
      <x:c r="BE862" s="9"/>
      <x:c r="BF862" s="11" t="str">
        <x:f>HYPERLINK("https://backloggd.com/search/games/Murderous%20Muses/","Backloggd")</x:f>
        <x:v>Backloggd</x:v>
      </x:c>
      <x:c r="BG862" s="9"/>
      <x:c r="BH862" s="9"/>
      <x:c r="BI862" s="12" t="str">
        <x:v>No</x:v>
      </x:c>
      <x:c r="BJ862" s="12" t="str"/>
      <x:c r="BK862" s="12" t="str">
        <x:v>No</x:v>
      </x:c>
      <x:c r="BL862" s="12" t="str"/>
      <x:c r="BM862" s="12" t="str"/>
      <x:c r="BN862" s="12" t="str"/>
      <x:c r="BO862" s="12" t="str"/>
      <x:c r="BP862" s="12" t="str"/>
      <x:c r="BQ862" s="12" t="str"/>
    </x:row>
    <x:row r="863">
      <x:c r="A863" s="9" t="str">
        <x:v>pc-216</x:v>
      </x:c>
      <x:c r="B863" s="9" t="str">
        <x:v>love-is-all-around</x:v>
      </x:c>
      <x:c r="C863" s="9" t="str">
        <x:v>PC</x:v>
      </x:c>
      <x:c r="D863" s="9" t="str">
        <x:v>Love Is All Around</x:v>
      </x:c>
      <x:c r="E863" s="9" t="str">
        <x:v>完蛋！我被美女包围了！ (Wandan! Wo bei meinü baowei le!)</x:v>
      </x:c>
      <x:c r="F863" s="9" t="str">
        <x:v>intiny</x:v>
      </x:c>
      <x:c r="G863" s="9" t="str">
        <x:v>intiny (verify)</x:v>
      </x:c>
      <x:c r="H863" s="9" t="n">
        <x:v>2023</x:v>
      </x:c>
      <x:c r="I863" s="9" t="str">
        <x:v>Yes</x:v>
      </x:c>
      <x:c r="J863" s="9" t="str">
        <x:v>Yes</x:v>
      </x:c>
      <x:c r="K863" s="9" t="str">
        <x:v>Yes</x:v>
      </x:c>
      <x:c r="L863" s="9" t="str">
        <x:v>No</x:v>
      </x:c>
      <x:c r="M863" s="9" t="str">
        <x:v>FMV dating sim / romantic comedy</x:v>
      </x:c>
      <x:c r="N863" s="9" t="str">
        <x:v>Live-action</x:v>
      </x:c>
      <x:c r="O863" s="9" t="n">
        <x:v>10</x:v>
      </x:c>
      <x:c r="P863" s="9" t="str">
        <x:v>Interactive movie</x:v>
      </x:c>
      <x:c r="Q863" s="9" t="str">
        <x:v>Released</x:v>
      </x:c>
      <x:c r="R863" s="9" t="str">
        <x:v>Original production (China)</x:v>
      </x:c>
      <x:c r="S863" s="9" t="str">
        <x:v>Epic Games Store; PS4, PS5, Xbox One, Xbox Series X|S, Switch, iOS/Android (Aug 2024)</x:v>
      </x:c>
      <x:c r="T863" s="9" t="str">
        <x:v>Zhong Chenyao (Zheng Ziyan), Wang Ziyun (Li Yunsi), Zou Jiajia (Xiao Lu), Yu Binghui (Shen Huixing), Wang Xingchen (Lin Leqing), Dong Qi (Zhong Zhen), Zheng Xudong (Lao Liu); player is first-person protagonist Gu Yi</x:v>
      </x:c>
      <x:c r="U863" s="9" t="n">
        <x:v>0</x:v>
      </x:c>
      <x:c r="V863" s="9" t="str">
        <x:v>Yes</x:v>
      </x:c>
      <x:c r="W863" s="9" t="str">
        <x:v>Windows (Unity); minimum spec verify</x:v>
      </x:c>
      <x:c r="X863" s="9" t="str">
        <x:v>Low</x:v>
      </x:c>
      <x:c r="Y863" s="9" t="str"/>
      <x:c r="Z863" s="9" t="str">
        <x:v>3–5 hr per route (verify)</x:v>
      </x:c>
      <x:c r="AA863" s="9" t="str">
        <x:v>The Chinese live-action dating sim that topped Steam in 2023 and started a boom: six women, one broke art entrepreneur, a hundred branches.</x:v>
      </x:c>
      <x:c r="AB863" s="9" t="str">
        <x:v>None known</x:v>
      </x:c>
      <x:c r="AC863" s="9" t="str">
        <x:v>First-person live-action footage (1080p, verify); dialogue choices at branch points</x:v>
      </x:c>
      <x:c r="AD863" s="9" t="str">
        <x:v>Easy; choices only</x:v>
      </x:c>
      <x:c r="AE863" s="9" t="str">
        <x:v>12 endings, more than 100 story branches</x:v>
      </x:c>
      <x:c r="AF863" s="9" t="str">
        <x:v>One lead actress doubled her Douyin following to over a million within a week of launch, and its success moved Chinese stocks tied to interactive film.</x:v>
      </x:c>
      <x:c r="AG863" s="9" t="str">
        <x:v>DLC 'Heartbeat in the Room' adds three heroines; prequel 'Love Is All Around: Echoes of Yesterday' (Steam, 23 Oct 2024); sequel Love Is All Around 2 (2025)</x:v>
      </x:c>
      <x:c r="AH863" s="9" t="str">
        <x:v>Yes (Steam, Epic)</x:v>
      </x:c>
      <x:c r="AI863" s="9" t="str">
        <x:v>Easy</x:v>
      </x:c>
      <x:c r="AJ863" s="9" t="str">
        <x:v>Steam, Epic; also PlayStation, Xbox, Switch and phones</x:v>
      </x:c>
      <x:c r="AK863" s="9" t="str">
        <x:v>Steam/Epic 18 Oct 2023 worldwide with English subtitles (verify languages). Estimated 120,000–800,000 copies sold; topped China's Steam chart and reached the global top 10. Chinese dialogue.</x:v>
      </x:c>
      <x:c r="AL863" s="10"/>
      <x:c r="AM863" s="10"/>
      <x:c r="AN863" s="10"/>
      <x:c r="AO863" s="9"/>
      <x:c r="AP863" s="11" t="str">
        <x:f>HYPERLINK("https://www.pricecharting.com/search-products?q=Love+Is+All+Around+pc+games&amp;type=prices","PriceCharting")</x:f>
        <x:v>PriceCharting</x:v>
      </x:c>
      <x:c r="AQ863" s="9" t="n">
        <x:v>9.99</x:v>
      </x:c>
      <x:c r="AR863" s="11" t="str">
        <x:v>Steam</x:v>
      </x:c>
      <x:c r="AS863" s="9" t="str">
        <x:f>HYPERLINK("https://store.steampowered.com/app/2322560/","Store")</x:f>
        <x:v>Store</x:v>
      </x:c>
      <x:c r="AT863" s="9" t="str">
        <x:v>2026-10-24</x:v>
      </x:c>
      <x:c r="AU863" s="9"/>
      <x:c r="AV863" s="9"/>
      <x:c r="AW863" s="9"/>
      <x:c r="AX863" s="9"/>
      <x:c r="AY863" s="9"/>
      <x:c r="AZ863" s="9"/>
      <x:c r="BA863" s="11" t="str">
        <x:f>HYPERLINK("https://www.mobygames.com/search/?q=Love+Is+All+Around","MobyGames")</x:f>
        <x:v>MobyGames</x:v>
      </x:c>
      <x:c r="BB863" s="9" t="str"/>
      <x:c r="BC863" s="9" t="str"/>
      <x:c r="BD863" s="9"/>
      <x:c r="BE863" s="11" t="str">
        <x:f>HYPERLINK("https://en.wikipedia.org/wiki/Love_Is_All_Around_(video_game)","Wikipedia")</x:f>
        <x:v>Wikipedia</x:v>
      </x:c>
      <x:c r="BF863" s="11" t="str">
        <x:f>HYPERLINK("https://backloggd.com/search/games/Love%20Is%20All%20Around/","Backloggd")</x:f>
        <x:v>Backloggd</x:v>
      </x:c>
      <x:c r="BG863" s="9"/>
      <x:c r="BH863" s="9"/>
      <x:c r="BI863" s="12" t="str">
        <x:v>No</x:v>
      </x:c>
      <x:c r="BJ863" s="12" t="str"/>
      <x:c r="BK863" s="12" t="str">
        <x:v>No</x:v>
      </x:c>
      <x:c r="BL863" s="12" t="str"/>
      <x:c r="BM863" s="12" t="str"/>
      <x:c r="BN863" s="12" t="str"/>
      <x:c r="BO863" s="12" t="str"/>
      <x:c r="BP863" s="12" t="str"/>
      <x:c r="BQ863" s="12" t="str"/>
    </x:row>
    <x:row r="864">
      <x:c r="A864" s="9" t="str">
        <x:v>pc-217</x:v>
      </x:c>
      <x:c r="B864" s="9" t="str">
        <x:v>mia-and-the-dragon-princess</x:v>
      </x:c>
      <x:c r="C864" s="9" t="str">
        <x:v>PC</x:v>
      </x:c>
      <x:c r="D864" s="9" t="str">
        <x:v>Mia and the Dragon Princess</x:v>
      </x:c>
      <x:c r="E864" s="9" t="str"/>
      <x:c r="F864" s="9" t="str">
        <x:v>Good Gate Media, Dead Pixel Productions, Wales Interactive</x:v>
      </x:c>
      <x:c r="G864" s="9" t="str">
        <x:v>Wales Interactive</x:v>
      </x:c>
      <x:c r="H864" s="9" t="n">
        <x:v>2023</x:v>
      </x:c>
      <x:c r="I864" s="9" t="str">
        <x:v>Yes</x:v>
      </x:c>
      <x:c r="J864" s="9" t="str">
        <x:v>Yes</x:v>
      </x:c>
      <x:c r="K864" s="9" t="str">
        <x:v>Yes</x:v>
      </x:c>
      <x:c r="L864" s="9" t="str">
        <x:v>No</x:v>
      </x:c>
      <x:c r="M864" s="9" t="str">
        <x:v>FMV action adventure</x:v>
      </x:c>
      <x:c r="N864" s="9" t="str">
        <x:v>Live-action</x:v>
      </x:c>
      <x:c r="O864" s="9" t="n">
        <x:v>10</x:v>
      </x:c>
      <x:c r="P864" s="9" t="str">
        <x:v>Interactive movie</x:v>
      </x:c>
      <x:c r="Q864" s="9" t="str">
        <x:v>Released</x:v>
      </x:c>
      <x:c r="R864" s="9" t="str">
        <x:v>Original production</x:v>
      </x:c>
      <x:c r="S864" s="9" t="str">
        <x:v>macOS (verify), PS4, PS5, Xbox One, Xbox Series X|S, Switch, iOS, Android</x:v>
      </x:c>
      <x:c r="T864" s="9" t="str">
        <x:v>Unknown — verify</x:v>
      </x:c>
      <x:c r="U864" s="9" t="n">
        <x:v>0</x:v>
      </x:c>
      <x:c r="V864" s="9" t="str">
        <x:v>Yes</x:v>
      </x:c>
      <x:c r="W864" s="9" t="str">
        <x:v>Windows; minimum spec verify</x:v>
      </x:c>
      <x:c r="X864" s="9" t="str">
        <x:v>Low</x:v>
      </x:c>
      <x:c r="Y864" s="9" t="str"/>
      <x:c r="Z864" s="9" t="str">
        <x:v>1–2 hr per run</x:v>
      </x:c>
      <x:c r="AA864" s="9" t="str">
        <x:v>A barmaid ends up protecting a mysterious princess from a gang of thugs in a live-action action movie you direct choice by choice.</x:v>
      </x:c>
      <x:c r="AB864" s="9" t="str">
        <x:v>None known</x:v>
      </x:c>
      <x:c r="AC864" s="9" t="str">
        <x:v>Live-action footage with timed choices (resolution verify)</x:v>
      </x:c>
      <x:c r="AD864" s="9" t="str">
        <x:v>Easy; timed choices</x:v>
      </x:c>
      <x:c r="AE864" s="9" t="str">
        <x:v>Multiple endings (count verify)</x:v>
      </x:c>
      <x:c r="AF864" s="9" t="str">
        <x:v>Wales Interactive billed it as a live-action interactive action movie; its demo went up on Steam in Feb 2023.</x:v>
      </x:c>
      <x:c r="AG864" s="9" t="str">
        <x:v>Digital (physical edition verify)</x:v>
      </x:c>
      <x:c r="AH864" s="9" t="str">
        <x:v>Yes (Steam)</x:v>
      </x:c>
      <x:c r="AI864" s="9" t="str">
        <x:v>Easy</x:v>
      </x:c>
      <x:c r="AJ864" s="9" t="str">
        <x:v>Steam; also PlayStation, Xbox, Switch and phones</x:v>
      </x:c>
      <x:c r="AK864" s="9" t="str">
        <x:v>Steam release 3 May 2023 (SteamSpy); trailer article in Feb 2023 had said April. SteamSpy user score about 66%, owners 0–20,000. Cast not found in this pass (web-fetch budget).</x:v>
      </x:c>
      <x:c r="AL864" s="10"/>
      <x:c r="AM864" s="10"/>
      <x:c r="AN864" s="10"/>
      <x:c r="AO864" s="9"/>
      <x:c r="AP864" s="11" t="str">
        <x:f>HYPERLINK("https://www.pricecharting.com/search-products?q=Mia+and+the+Dragon+Princess+pc+games&amp;type=prices","PriceCharting")</x:f>
        <x:v>PriceCharting</x:v>
      </x:c>
      <x:c r="AQ864" s="9" t="n">
        <x:v>14.99</x:v>
      </x:c>
      <x:c r="AR864" s="11" t="str">
        <x:v>Steam</x:v>
      </x:c>
      <x:c r="AS864" s="9" t="str">
        <x:f>HYPERLINK("https://store.steampowered.com/app/1837580/","Store")</x:f>
        <x:v>Store</x:v>
      </x:c>
      <x:c r="AT864" s="9" t="str">
        <x:v>2026-10-24</x:v>
      </x:c>
      <x:c r="AU864" s="9"/>
      <x:c r="AV864" s="9"/>
      <x:c r="AW864" s="9"/>
      <x:c r="AX864" s="9"/>
      <x:c r="AY864" s="9"/>
      <x:c r="AZ864" s="9"/>
      <x:c r="BA864" s="11" t="str">
        <x:f>HYPERLINK("https://www.mobygames.com/search/?q=Mia+and+the+Dragon+Princess","MobyGames")</x:f>
        <x:v>MobyGames</x:v>
      </x:c>
      <x:c r="BB864" s="9" t="str"/>
      <x:c r="BC864" s="9" t="str"/>
      <x:c r="BD864" s="9"/>
      <x:c r="BE864" s="9"/>
      <x:c r="BF864" s="11" t="str">
        <x:f>HYPERLINK("https://backloggd.com/search/games/Mia%20and%20the%20Dragon%20Princess/","Backloggd")</x:f>
        <x:v>Backloggd</x:v>
      </x:c>
      <x:c r="BG864" s="9"/>
      <x:c r="BH864" s="9"/>
      <x:c r="BI864" s="12" t="str">
        <x:v>No</x:v>
      </x:c>
      <x:c r="BJ864" s="12" t="str"/>
      <x:c r="BK864" s="12" t="str">
        <x:v>No</x:v>
      </x:c>
      <x:c r="BL864" s="12" t="str"/>
      <x:c r="BM864" s="12" t="str"/>
      <x:c r="BN864" s="12" t="str"/>
      <x:c r="BO864" s="12" t="str"/>
      <x:c r="BP864" s="12" t="str"/>
      <x:c r="BQ864" s="12" t="str"/>
    </x:row>
    <x:row r="865">
      <x:c r="A865" s="9" t="str">
        <x:v>pc-218</x:v>
      </x:c>
      <x:c r="B865" s="9" t="str">
        <x:v>simulacra-2</x:v>
      </x:c>
      <x:c r="C865" s="9" t="str">
        <x:v>PC</x:v>
      </x:c>
      <x:c r="D865" s="9" t="str">
        <x:v>Simulacra 2</x:v>
      </x:c>
      <x:c r="E865" s="9" t="str"/>
      <x:c r="F865" s="9" t="str">
        <x:v>Kaigan Games</x:v>
      </x:c>
      <x:c r="G865" s="9" t="str">
        <x:v>Neon Doctrine</x:v>
      </x:c>
      <x:c r="H865" s="9" t="n">
        <x:v>2020</x:v>
      </x:c>
      <x:c r="I865" s="9" t="str">
        <x:v>Yes</x:v>
      </x:c>
      <x:c r="J865" s="9" t="str">
        <x:v>Yes</x:v>
      </x:c>
      <x:c r="K865" s="9" t="str">
        <x:v>Yes</x:v>
      </x:c>
      <x:c r="L865" s="9" t="str">
        <x:v>No</x:v>
      </x:c>
      <x:c r="M865" s="9" t="str">
        <x:v>Phone-simulator mystery / horror</x:v>
      </x:c>
      <x:c r="N865" s="9" t="str">
        <x:v>Live-action</x:v>
      </x:c>
      <x:c r="O865" s="9" t="n">
        <x:v>5</x:v>
      </x:c>
      <x:c r="P865" s="9" t="str">
        <x:v>FMV adventure</x:v>
      </x:c>
      <x:c r="Q865" s="9" t="str">
        <x:v>Released</x:v>
      </x:c>
      <x:c r="R865" s="9" t="str">
        <x:v>Original production; sequel to Simulacra (2017)</x:v>
      </x:c>
      <x:c r="S865" s="9" t="str">
        <x:v>macOS (verify), iOS, Android (later); consoles verify</x:v>
      </x:c>
      <x:c r="T865" s="9" t="str">
        <x:v>Unknown — verify</x:v>
      </x:c>
      <x:c r="U865" s="9" t="n">
        <x:v>0</x:v>
      </x:c>
      <x:c r="V865" s="9" t="str">
        <x:v>Yes</x:v>
      </x:c>
      <x:c r="W865" s="9" t="str">
        <x:v>Windows; minimum spec verify</x:v>
      </x:c>
      <x:c r="X865" s="9" t="str">
        <x:v>Low</x:v>
      </x:c>
      <x:c r="Y865" s="9" t="str"/>
      <x:c r="Z865" s="9" t="str">
        <x:v>3–4 hr</x:v>
      </x:c>
      <x:c r="AA865" s="9" t="str">
        <x:v>You comb a dead influencer's phone (texts, social feeds and her videos) to work out which of three suspects killed her.</x:v>
      </x:c>
      <x:c r="AB865" s="9" t="str">
        <x:v>None known</x:v>
      </x:c>
      <x:c r="AC865" s="9" t="str">
        <x:v>Live-action video clips and video calls inside a simulated phone UI (resolution verify); the rest is text and social-media pages</x:v>
      </x:c>
      <x:c r="AD865" s="9" t="str">
        <x:v>Moderate; password and phone puzzles</x:v>
      </x:c>
      <x:c r="AE865" s="9" t="str">
        <x:v>Multiple endings (verify count)</x:v>
      </x:c>
      <x:c r="AF865" s="9" t="str">
        <x:v>Kaigan's found-phone format began with the mobile game Sara Is Missing before Simulacra.</x:v>
      </x:c>
      <x:c r="AG865" s="9" t="str">
        <x:v>Digital only</x:v>
      </x:c>
      <x:c r="AH865" s="9" t="str">
        <x:v>Yes (Steam)</x:v>
      </x:c>
      <x:c r="AI865" s="9" t="str">
        <x:v>Easy</x:v>
      </x:c>
      <x:c r="AJ865" s="9" t="str">
        <x:v>Steam; also phones</x:v>
      </x:c>
      <x:c r="AK865" s="9" t="str">
        <x:v>Steam 30 Jan 2020 (Wikipedia, Steambase), so before the 2022 window in the task list. Live action is a share of the game, not all of it: closer to Simulacra than to Her Story. Scores not checked.</x:v>
      </x:c>
      <x:c r="AL865" s="10"/>
      <x:c r="AM865" s="10"/>
      <x:c r="AN865" s="10"/>
      <x:c r="AO865" s="9"/>
      <x:c r="AP865" s="11" t="str">
        <x:f>HYPERLINK("https://www.pricecharting.com/search-products?q=Simulacra+2+pc+games&amp;type=prices","PriceCharting")</x:f>
        <x:v>PriceCharting</x:v>
      </x:c>
      <x:c r="AQ865" s="9" t="n">
        <x:v>7.99</x:v>
      </x:c>
      <x:c r="AR865" s="11" t="str">
        <x:v>Steam</x:v>
      </x:c>
      <x:c r="AS865" s="9" t="str">
        <x:f>HYPERLINK("https://store.steampowered.com/app/1011190/","Store")</x:f>
        <x:v>Store</x:v>
      </x:c>
      <x:c r="AT865" s="9" t="str">
        <x:v>2026-10-24</x:v>
      </x:c>
      <x:c r="AU865" s="9"/>
      <x:c r="AV865" s="9"/>
      <x:c r="AW865" s="9"/>
      <x:c r="AX865" s="9"/>
      <x:c r="AY865" s="9"/>
      <x:c r="AZ865" s="9"/>
      <x:c r="BA865" s="11" t="str">
        <x:f>HYPERLINK("https://www.mobygames.com/search/?q=Simulacra+2","MobyGames")</x:f>
        <x:v>MobyGames</x:v>
      </x:c>
      <x:c r="BB865" s="9" t="str"/>
      <x:c r="BC865" s="9" t="str"/>
      <x:c r="BD865" s="9"/>
      <x:c r="BE865" s="9"/>
      <x:c r="BF865" s="11" t="str">
        <x:f>HYPERLINK("https://backloggd.com/search/games/Simulacra%202/","Backloggd")</x:f>
        <x:v>Backloggd</x:v>
      </x:c>
      <x:c r="BG865" s="9"/>
      <x:c r="BH865" s="9"/>
      <x:c r="BI865" s="12" t="str">
        <x:v>No</x:v>
      </x:c>
      <x:c r="BJ865" s="12" t="str"/>
      <x:c r="BK865" s="12" t="str">
        <x:v>No</x:v>
      </x:c>
      <x:c r="BL865" s="12" t="str"/>
      <x:c r="BM865" s="12" t="str"/>
      <x:c r="BN865" s="12" t="str"/>
      <x:c r="BO865" s="12" t="str"/>
      <x:c r="BP865" s="12" t="str"/>
      <x:c r="BQ865" s="12" t="str"/>
    </x:row>
    <x:row r="866">
      <x:c r="A866" s="9" t="str">
        <x:v>pc-219</x:v>
      </x:c>
      <x:c r="B866" s="9" t="str">
        <x:v>in-memoriam</x:v>
      </x:c>
      <x:c r="C866" s="9" t="str">
        <x:v>PC</x:v>
      </x:c>
      <x:c r="D866" s="9" t="str">
        <x:v>In Memoriam</x:v>
      </x:c>
      <x:c r="E866" s="9" t="str">
        <x:v>Missing: Since January (NA)</x:v>
      </x:c>
      <x:c r="F866" s="9" t="str">
        <x:v>Lexis Numérique</x:v>
      </x:c>
      <x:c r="G866" s="9" t="str">
        <x:v>Ubi Soft (EU), The Adventure Company (NA)</x:v>
      </x:c>
      <x:c r="H866" s="9" t="n">
        <x:v>2003</x:v>
      </x:c>
      <x:c r="I866" s="9" t="str">
        <x:v>Yes</x:v>
      </x:c>
      <x:c r="J866" s="9" t="str">
        <x:v>Yes</x:v>
      </x:c>
      <x:c r="K866" s="9" t="str">
        <x:v>Yes</x:v>
      </x:c>
      <x:c r="L866" s="9" t="str">
        <x:v>No</x:v>
      </x:c>
      <x:c r="M866" s="9" t="str">
        <x:v>Puzzle adventure / alternate reality game</x:v>
      </x:c>
      <x:c r="N866" s="9" t="str">
        <x:v>Live-action</x:v>
      </x:c>
      <x:c r="O866" s="9" t="n">
        <x:v>5</x:v>
      </x:c>
      <x:c r="P866" s="9" t="str">
        <x:v>FMV adventure</x:v>
      </x:c>
      <x:c r="Q866" s="9" t="str">
        <x:v>Released</x:v>
      </x:c>
      <x:c r="R866" s="9" t="str">
        <x:v>Original production (France)</x:v>
      </x:c>
      <x:c r="S866" s="9" t="str">
        <x:v>Mac OS</x:v>
      </x:c>
      <x:c r="T866" s="9" t="str">
        <x:v>Unknown — verify</x:v>
      </x:c>
      <x:c r="U866" s="9" t="n">
        <x:v>1</x:v>
      </x:c>
      <x:c r="V866" s="9" t="str">
        <x:v>Yes</x:v>
      </x:c>
      <x:c r="W866" s="9" t="str">
        <x:v>Windows 98/ME/2000/XP, internet connection for the web clues and e-mails (spec verify)</x:v>
      </x:c>
      <x:c r="X866" s="9" t="str">
        <x:v>Low</x:v>
      </x:c>
      <x:c r="Y866" s="9" t="str"/>
      <x:c r="Z866" s="9" t="str">
        <x:v>15–25 hr (verify)</x:v>
      </x:c>
      <x:c r="AA866" s="9" t="str">
        <x:v>A serial-killer ARG on a CD-ROM: the killer e-mails you, and the clues are hidden on real and fake websites.</x:v>
      </x:c>
      <x:c r="AB866" s="9" t="str">
        <x:v>None known</x:v>
      </x:c>
      <x:c r="AC866" s="9" t="str">
        <x:v>Live-action 'found' footage shot by the missing journalist Jack, played in a scrambled player between puzzles (resolution verify)</x:v>
      </x:c>
      <x:c r="AD866" s="9" t="str">
        <x:v>Hard; puzzles need real web research</x:v>
      </x:c>
      <x:c r="AE866" s="9" t="str">
        <x:v>One</x:v>
      </x:c>
      <x:c r="AF866" s="9" t="str">
        <x:v>Self-funded for about €1 million over four years; players hunted clues on purpose-built sites mixed with real ones.</x:v>
      </x:c>
      <x:c r="AG866" s="9" t="str">
        <x:v>Expansion The 13th Victim (2005); sequel In Memoriam 2 / Evidence: The Last Ritual (2006)</x:v>
      </x:c>
      <x:c r="AH866" s="9" t="str">
        <x:v>No</x:v>
      </x:c>
      <x:c r="AI866" s="9" t="str">
        <x:v>Emulation only</x:v>
      </x:c>
      <x:c r="AJ866" s="9" t="str">
        <x:v>Original discs only; no store re-release found, and the online clues depend on servers that may be offline (verify)</x:v>
      </x:c>
      <x:c r="AK866" s="9" t="str">
        <x:v>Not the 2016 'Missing: An Interactive Thriller', which another batch covers. EU 16 Oct 2003, NA 24 Jun 2004. Metacritic 76 (In Memoriam) / 75 (Missing). Sold 300,000 worldwide by Dec 2006. Computer Gaming World 2004 Adventure Game of the Year. The original websites and e-mail server may no longer work, so the game is hard to finish today (verify).</x:v>
      </x:c>
      <x:c r="AL866" s="10"/>
      <x:c r="AM866" s="10"/>
      <x:c r="AN866" s="10"/>
      <x:c r="AO866" s="9"/>
      <x:c r="AP866" s="11" t="str">
        <x:f>HYPERLINK("https://www.pricecharting.com/search-products?q=In+Memoriam+pc+games&amp;type=prices","PriceCharting")</x:f>
        <x:v>PriceCharting</x:v>
      </x:c>
      <x:c r="AQ866" s="9"/>
      <x:c r="AR866" s="9"/>
      <x:c r="AS866" s="9"/>
      <x:c r="AT866" s="9"/>
      <x:c r="AU866" s="9" t="str">
        <x:v>No market</x:v>
      </x:c>
      <x:c r="AV866" s="9" t="str">
        <x:v>Not sold on Steam or GOG (checked 2026-10-25) and no PriceCharting listing.</x:v>
      </x:c>
      <x:c r="AW866" s="9"/>
      <x:c r="AX866" s="9"/>
      <x:c r="AY866" s="9" t="str">
        <x:v>73%</x:v>
      </x:c>
      <x:c r="AZ866" s="9"/>
      <x:c r="BA866" s="11" t="str">
        <x:f>HYPERLINK("https://www.mobygames.com/game/windows/missing","MobyGames")</x:f>
        <x:v>MobyGames</x:v>
      </x:c>
      <x:c r="BB866" s="9" t="str">
        <x:v>75%</x:v>
      </x:c>
      <x:c r="BC866" s="9" t="str">
        <x:v>Metacritic (PC, as Missing: Since January), review count not read</x:v>
      </x:c>
      <x:c r="BD866" s="9"/>
      <x:c r="BE866" s="11" t="str">
        <x:f>HYPERLINK("https://en.wikipedia.org/wiki/In_Memoriam_(video_game)","Wikipedia")</x:f>
        <x:v>Wikipedia</x:v>
      </x:c>
      <x:c r="BF866" s="11" t="str">
        <x:f>HYPERLINK("https://backloggd.com/search/games/In%20Memoriam/","Backloggd")</x:f>
        <x:v>Backloggd</x:v>
      </x:c>
      <x:c r="BG866" s="9"/>
      <x:c r="BH866" s="9"/>
      <x:c r="BI866" s="12" t="str">
        <x:v>No</x:v>
      </x:c>
      <x:c r="BJ866" s="12" t="str"/>
      <x:c r="BK866" s="12" t="str">
        <x:v>No</x:v>
      </x:c>
      <x:c r="BL866" s="12" t="str"/>
      <x:c r="BM866" s="12" t="str"/>
      <x:c r="BN866" s="12" t="str"/>
      <x:c r="BO866" s="12" t="str"/>
      <x:c r="BP866" s="12" t="str"/>
      <x:c r="BQ866" s="12" t="str"/>
    </x:row>
    <x:row r="867">
      <x:c r="A867" s="9" t="str">
        <x:v>pc-220</x:v>
      </x:c>
      <x:c r="B867" s="9" t="str">
        <x:v>deathtrap-dungeon-the-interactive-video-adventure</x:v>
      </x:c>
      <x:c r="C867" s="9" t="str">
        <x:v>PC</x:v>
      </x:c>
      <x:c r="D867" s="9" t="str">
        <x:v>Deathtrap Dungeon: The Interactive Video Adventure</x:v>
      </x:c>
      <x:c r="E867" s="9" t="str">
        <x:v>Deathtrap Dungeon: The Golden Room (Wales Interactive release)</x:v>
      </x:c>
      <x:c r="F867" s="9" t="str">
        <x:v>Branching Narrative</x:v>
      </x:c>
      <x:c r="G867" s="9" t="str">
        <x:v>Branching Narrative (2020 Early Access); Wales Interactive (The Golden Room)</x:v>
      </x:c>
      <x:c r="H867" s="9" t="n">
        <x:v>2020</x:v>
      </x:c>
      <x:c r="I867" s="9" t="str">
        <x:v>Yes</x:v>
      </x:c>
      <x:c r="J867" s="9" t="str">
        <x:v>Yes</x:v>
      </x:c>
      <x:c r="K867" s="9" t="str">
        <x:v>Yes</x:v>
      </x:c>
      <x:c r="L867" s="9" t="str">
        <x:v>No</x:v>
      </x:c>
      <x:c r="M867" s="9" t="str">
        <x:v>FMV gamebook adventure</x:v>
      </x:c>
      <x:c r="N867" s="9" t="str">
        <x:v>Live-action</x:v>
      </x:c>
      <x:c r="O867" s="9" t="n">
        <x:v>10</x:v>
      </x:c>
      <x:c r="P867" s="9" t="str">
        <x:v>Interactive movie</x:v>
      </x:c>
      <x:c r="Q867" s="9" t="str">
        <x:v>Released</x:v>
      </x:c>
      <x:c r="R867" s="9" t="str">
        <x:v>Ian Livingstone's Fighting Fantasy gamebook Deathtrap Dungeon (1984)</x:v>
      </x:c>
      <x:c r="S867" s="9" t="str">
        <x:v>macOS; consoles/phones as The Golden Room (verify)</x:v>
      </x:c>
      <x:c r="T867" s="9" t="str">
        <x:v>Eddie Marsan (narrator)</x:v>
      </x:c>
      <x:c r="U867" s="9" t="n">
        <x:v>0</x:v>
      </x:c>
      <x:c r="V867" s="9" t="str">
        <x:v>Yes</x:v>
      </x:c>
      <x:c r="W867" s="9" t="str">
        <x:v>Windows; minimum spec verify; also macOS</x:v>
      </x:c>
      <x:c r="X867" s="9" t="str">
        <x:v>Low</x:v>
      </x:c>
      <x:c r="Y867" s="9" t="str"/>
      <x:c r="Z867" s="9" t="str">
        <x:v>1–2 hr per run</x:v>
      </x:c>
      <x:c r="AA867" s="9" t="str">
        <x:v>Eddie Marsan reads you through Fighting Fantasy's most famous gamebook while live-action footage plays out your choices.</x:v>
      </x:c>
      <x:c r="AB867" s="9" t="str">
        <x:v>None known</x:v>
      </x:c>
      <x:c r="AC867" s="9" t="str">
        <x:v>Live-action footage with branching choices, narrated as a gamebook (resolution verify)</x:v>
      </x:c>
      <x:c r="AD867" s="9" t="str">
        <x:v>Gamebook-style deaths; replay to survive</x:v>
      </x:c>
      <x:c r="AE867" s="9" t="str">
        <x:v>Many deaths and a win (verify)</x:v>
      </x:c>
      <x:c r="AF867" s="9" t="str">
        <x:v>Branching Narrative's first release adapts the 1984 gamebook; Wales Interactive later showed it as Deathtrap Dungeon: The Golden Room alongside Night Book.</x:v>
      </x:c>
      <x:c r="AG867" s="9" t="str">
        <x:v>2020 Steam Early Access 'The Interactive Video Adventure'; later 'The Golden Room' release (verify date and whether it replaced the first)</x:v>
      </x:c>
      <x:c r="AH867" s="9" t="str">
        <x:v>Yes (Steam)</x:v>
      </x:c>
      <x:c r="AI867" s="9" t="str">
        <x:v>Easy</x:v>
      </x:c>
      <x:c r="AJ867" s="9" t="str">
        <x:v>Steam (verify current listing name)</x:v>
      </x:c>
      <x:c r="AK867" s="9" t="str">
        <x:v>Steam Early Access 21 Jan 2020, $9.99 (TouchArcade). Relationship between the 2020 version and The Golden Room not confirmed (web-fetch budget); lead should check whether they are one record.</x:v>
      </x:c>
      <x:c r="AL867" s="10"/>
      <x:c r="AM867" s="10"/>
      <x:c r="AN867" s="10"/>
      <x:c r="AO867" s="9"/>
      <x:c r="AP867" s="11" t="str">
        <x:f>HYPERLINK("https://www.pricecharting.com/search-products?q=Deathtrap+Dungeon%3A+The+Interactive+Video+Adventure+pc+games&amp;type=prices","PriceCharting")</x:f>
        <x:v>PriceCharting</x:v>
      </x:c>
      <x:c r="AQ867" s="9" t="n">
        <x:v>19.99</x:v>
      </x:c>
      <x:c r="AR867" s="11" t="str">
        <x:v>Steam</x:v>
      </x:c>
      <x:c r="AS867" s="9" t="str">
        <x:f>HYPERLINK("https://store.steampowered.com/app/1191940/","Store")</x:f>
        <x:v>Store</x:v>
      </x:c>
      <x:c r="AT867" s="9" t="str">
        <x:v>2026-10-24</x:v>
      </x:c>
      <x:c r="AU867" s="9"/>
      <x:c r="AV867" s="9"/>
      <x:c r="AW867" s="9"/>
      <x:c r="AX867" s="9"/>
      <x:c r="AY867" s="9"/>
      <x:c r="AZ867" s="9"/>
      <x:c r="BA867" s="11" t="str">
        <x:f>HYPERLINK("https://www.mobygames.com/search/?q=Deathtrap+Dungeon%3A+The+Interactive+Video+Adventure","MobyGames")</x:f>
        <x:v>MobyGames</x:v>
      </x:c>
      <x:c r="BB867" s="9" t="str"/>
      <x:c r="BC867" s="9" t="str"/>
      <x:c r="BD867" s="9"/>
      <x:c r="BE867" s="11" t="str">
        <x:f>HYPERLINK("https://en.wikipedia.org/wiki/Deathtrap_Dungeon","Wikipedia")</x:f>
        <x:v>Wikipedia</x:v>
      </x:c>
      <x:c r="BF867" s="11" t="str">
        <x:f>HYPERLINK("https://backloggd.com/search/games/Deathtrap%20Dungeon%3A%20The%20Interactive%20Video%20Adventure/","Backloggd")</x:f>
        <x:v>Backloggd</x:v>
      </x:c>
      <x:c r="BG867" s="9"/>
      <x:c r="BH867" s="9"/>
      <x:c r="BI867" s="12" t="str">
        <x:v>No</x:v>
      </x:c>
      <x:c r="BJ867" s="12" t="str"/>
      <x:c r="BK867" s="12" t="str">
        <x:v>No</x:v>
      </x:c>
      <x:c r="BL867" s="12" t="str"/>
      <x:c r="BM867" s="12" t="str"/>
      <x:c r="BN867" s="12" t="str"/>
      <x:c r="BO867" s="12" t="str"/>
      <x:c r="BP867" s="12" t="str"/>
      <x:c r="BQ867" s="12" t="str"/>
    </x:row>
    <x:row r="868">
      <x:c r="A868" s="9" t="str">
        <x:v>pc-221</x:v>
      </x:c>
      <x:c r="B868" s="9" t="str">
        <x:v>simulacra-3</x:v>
      </x:c>
      <x:c r="C868" s="9" t="str">
        <x:v>PC</x:v>
      </x:c>
      <x:c r="D868" s="9" t="str">
        <x:v>Simulacra 3</x:v>
      </x:c>
      <x:c r="E868" s="9" t="str"/>
      <x:c r="F868" s="9" t="str">
        <x:v>Kaigan Games</x:v>
      </x:c>
      <x:c r="G868" s="9" t="str">
        <x:v>Soft Source</x:v>
      </x:c>
      <x:c r="H868" s="9" t="n">
        <x:v>2022</x:v>
      </x:c>
      <x:c r="I868" s="9" t="str">
        <x:v>Yes</x:v>
      </x:c>
      <x:c r="J868" s="9" t="str">
        <x:v>Yes</x:v>
      </x:c>
      <x:c r="K868" s="9" t="str">
        <x:v>Yes</x:v>
      </x:c>
      <x:c r="L868" s="9" t="str">
        <x:v>No</x:v>
      </x:c>
      <x:c r="M868" s="9" t="str">
        <x:v>Phone-simulator horror</x:v>
      </x:c>
      <x:c r="N868" s="9" t="str">
        <x:v>Live-action</x:v>
      </x:c>
      <x:c r="O868" s="9" t="n">
        <x:v>5</x:v>
      </x:c>
      <x:c r="P868" s="9" t="str">
        <x:v>FMV adventure</x:v>
      </x:c>
      <x:c r="Q868" s="9" t="str">
        <x:v>Released</x:v>
      </x:c>
      <x:c r="R868" s="9" t="str">
        <x:v>Original production; third Simulacra game</x:v>
      </x:c>
      <x:c r="S868" s="9" t="str">
        <x:v>iOS, Android, consoles (verify)</x:v>
      </x:c>
      <x:c r="T868" s="9" t="str">
        <x:v>Unknown — verify</x:v>
      </x:c>
      <x:c r="U868" s="9" t="n">
        <x:v>0</x:v>
      </x:c>
      <x:c r="V868" s="9" t="str">
        <x:v>Yes</x:v>
      </x:c>
      <x:c r="W868" s="9" t="str">
        <x:v>Windows; minimum spec verify</x:v>
      </x:c>
      <x:c r="X868" s="9" t="str">
        <x:v>Low</x:v>
      </x:c>
      <x:c r="Y868" s="9" t="str"/>
      <x:c r="Z868" s="9" t="str">
        <x:v>3–4 hr</x:v>
      </x:c>
      <x:c r="AA868" s="9" t="str">
        <x:v>Another found phone, another disappearance: piece together live-action video calls and clips to find out what took its owner.</x:v>
      </x:c>
      <x:c r="AB868" s="9" t="str">
        <x:v>None known</x:v>
      </x:c>
      <x:c r="AC868" s="9" t="str">
        <x:v>Live-action clips inside a simulated phone UI (verify)</x:v>
      </x:c>
      <x:c r="AD868" s="9" t="str">
        <x:v>Moderate</x:v>
      </x:c>
      <x:c r="AE868" s="9" t="str">
        <x:v>Multiple endings (verify)</x:v>
      </x:c>
      <x:c r="AF868" s="9" t="str">
        <x:v>Announced with a teaser in March 2022.</x:v>
      </x:c>
      <x:c r="AG868" s="9" t="str">
        <x:v>Digital only</x:v>
      </x:c>
      <x:c r="AH868" s="9" t="str">
        <x:v>Yes (Steam)</x:v>
      </x:c>
      <x:c r="AI868" s="9" t="str">
        <x:v>Easy</x:v>
      </x:c>
      <x:c r="AJ868" s="9" t="str">
        <x:v>Steam; also phones</x:v>
      </x:c>
      <x:c r="AK868" s="9" t="str">
        <x:v>Steam 25 Oct 2022 (Wikipedia). Metacritic has a PC page; score not read. Plot and cast not checked (web-fetch budget).</x:v>
      </x:c>
      <x:c r="AL868" s="10"/>
      <x:c r="AM868" s="10"/>
      <x:c r="AN868" s="10"/>
      <x:c r="AO868" s="9"/>
      <x:c r="AP868" s="11" t="str">
        <x:f>HYPERLINK("https://www.pricecharting.com/search-products?q=Simulacra+3+pc+games&amp;type=prices","PriceCharting")</x:f>
        <x:v>PriceCharting</x:v>
      </x:c>
      <x:c r="AQ868" s="9" t="n">
        <x:v>3.99</x:v>
      </x:c>
      <x:c r="AR868" s="11" t="str">
        <x:v>GOG</x:v>
      </x:c>
      <x:c r="AS868" s="9" t="str">
        <x:f>HYPERLINK("https://www.gog.com/en/game/simulacra_3","Store")</x:f>
        <x:v>Store</x:v>
      </x:c>
      <x:c r="AT868" s="9" t="str">
        <x:v>2026-10-24</x:v>
      </x:c>
      <x:c r="AU868" s="9"/>
      <x:c r="AV868" s="9"/>
      <x:c r="AW868" s="9"/>
      <x:c r="AX868" s="9"/>
      <x:c r="AY868" s="9"/>
      <x:c r="AZ868" s="9"/>
      <x:c r="BA868" s="11" t="str">
        <x:f>HYPERLINK("https://www.mobygames.com/search/?q=Simulacra+3","MobyGames")</x:f>
        <x:v>MobyGames</x:v>
      </x:c>
      <x:c r="BB868" s="9" t="str"/>
      <x:c r="BC868" s="9" t="str"/>
      <x:c r="BD868" s="9"/>
      <x:c r="BE868" s="9"/>
      <x:c r="BF868" s="11" t="str">
        <x:f>HYPERLINK("https://backloggd.com/search/games/Simulacra%203/","Backloggd")</x:f>
        <x:v>Backloggd</x:v>
      </x:c>
      <x:c r="BG868" s="9"/>
      <x:c r="BH868" s="9"/>
      <x:c r="BI868" s="12" t="str">
        <x:v>No</x:v>
      </x:c>
      <x:c r="BJ868" s="12" t="str"/>
      <x:c r="BK868" s="12" t="str">
        <x:v>No</x:v>
      </x:c>
      <x:c r="BL868" s="12" t="str"/>
      <x:c r="BM868" s="12" t="str"/>
      <x:c r="BN868" s="12" t="str"/>
      <x:c r="BO868" s="12" t="str"/>
      <x:c r="BP868" s="12" t="str"/>
      <x:c r="BQ868" s="12" t="str"/>
    </x:row>
    <x:row r="869">
      <x:c r="A869" s="9" t="str">
        <x:v>pc-222</x:v>
      </x:c>
      <x:c r="B869" s="9" t="str">
        <x:v>superscout</x:v>
      </x:c>
      <x:c r="C869" s="9" t="str">
        <x:v>PC</x:v>
      </x:c>
      <x:c r="D869" s="9" t="str">
        <x:v>Superscout</x:v>
      </x:c>
      <x:c r="E869" s="9" t="str"/>
      <x:c r="F869" s="9" t="str">
        <x:v>Mountain &amp; Sea Studio</x:v>
      </x:c>
      <x:c r="G869" s="9" t="str">
        <x:v>Hangzhou Shanhai Xingchen Culture and Technology Co., Ltd. (PS5)</x:v>
      </x:c>
      <x:c r="H869" s="9" t="n">
        <x:v>2024</x:v>
      </x:c>
      <x:c r="I869" s="9" t="str">
        <x:v>Yes</x:v>
      </x:c>
      <x:c r="J869" s="9" t="str">
        <x:v>Yes</x:v>
      </x:c>
      <x:c r="K869" s="9" t="str">
        <x:v>Yes</x:v>
      </x:c>
      <x:c r="L869" s="9" t="str">
        <x:v>No</x:v>
      </x:c>
      <x:c r="M869" s="9" t="str">
        <x:v>FMV dating sim</x:v>
      </x:c>
      <x:c r="N869" s="9" t="str">
        <x:v>Live-action</x:v>
      </x:c>
      <x:c r="O869" s="9" t="n">
        <x:v>10</x:v>
      </x:c>
      <x:c r="P869" s="9" t="str">
        <x:v>Interactive movie</x:v>
      </x:c>
      <x:c r="Q869" s="9" t="str">
        <x:v>Released</x:v>
      </x:c>
      <x:c r="R869" s="9" t="str">
        <x:v>Original production (China)</x:v>
      </x:c>
      <x:c r="S869" s="9" t="str">
        <x:v>None known</x:v>
      </x:c>
      <x:c r="T869" s="9" t="str">
        <x:v>Zhou Yang and five other heroines (actor names verify)</x:v>
      </x:c>
      <x:c r="U869" s="9" t="n">
        <x:v>0</x:v>
      </x:c>
      <x:c r="V869" s="9" t="str">
        <x:v>Yes</x:v>
      </x:c>
      <x:c r="W869" s="9" t="str">
        <x:v>Windows; minimum spec verify</x:v>
      </x:c>
      <x:c r="X869" s="9" t="str">
        <x:v>Low</x:v>
      </x:c>
      <x:c r="Y869" s="9" t="str"/>
      <x:c r="Z869" s="9" t="str">
        <x:v>Unknown — verify</x:v>
      </x:c>
      <x:c r="AA869" s="9" t="str">
        <x:v>A talent scout who sold his earnings to the god of entertainment hunts for stars among five women in this Chinese live-action dating sim.</x:v>
      </x:c>
      <x:c r="AB869" s="9" t="str">
        <x:v>None known</x:v>
      </x:c>
      <x:c r="AC869" s="9" t="str">
        <x:v>Live-action footage with choices (verify)</x:v>
      </x:c>
      <x:c r="AD869" s="9" t="str">
        <x:v>Easy</x:v>
      </x:c>
      <x:c r="AE869" s="9" t="str">
        <x:v>Multiple (verify)</x:v>
      </x:c>
      <x:c r="AF869" s="9" t="str">
        <x:v>Its launch peak of 5,385 concurrent players came almost entirely from Chinese-language players.</x:v>
      </x:c>
      <x:c r="AG869" s="9" t="str">
        <x:v>Digital only</x:v>
      </x:c>
      <x:c r="AH869" s="9" t="str">
        <x:v>Yes (Steam)</x:v>
      </x:c>
      <x:c r="AI869" s="9" t="str">
        <x:v>Easy</x:v>
      </x:c>
      <x:c r="AJ869" s="9" t="str">
        <x:v>Steam</x:v>
      </x:c>
      <x:c r="AK869" s="9" t="str">
        <x:v>Steam 18 Jul 2024, five languages incl. English. At launch 95% of 824 reviews positive; by late 2025 SteamDB shows 70.9% of 742. Chinese title not confirmed.</x:v>
      </x:c>
      <x:c r="AL869" s="10"/>
      <x:c r="AM869" s="10"/>
      <x:c r="AN869" s="10"/>
      <x:c r="AO869" s="9"/>
      <x:c r="AP869" s="11" t="str">
        <x:f>HYPERLINK("https://www.pricecharting.com/search-products?q=Superscout+pc+games&amp;type=prices","PriceCharting")</x:f>
        <x:v>PriceCharting</x:v>
      </x:c>
      <x:c r="AQ869" s="9" t="n">
        <x:v>17.99</x:v>
      </x:c>
      <x:c r="AR869" s="11" t="str">
        <x:v>Steam</x:v>
      </x:c>
      <x:c r="AS869" s="9" t="str">
        <x:f>HYPERLINK("https://store.steampowered.com/app/2862610/","Store")</x:f>
        <x:v>Store</x:v>
      </x:c>
      <x:c r="AT869" s="9" t="str">
        <x:v>2026-10-24</x:v>
      </x:c>
      <x:c r="AU869" s="9"/>
      <x:c r="AV869" s="9"/>
      <x:c r="AW869" s="9"/>
      <x:c r="AX869" s="9"/>
      <x:c r="AY869" s="9"/>
      <x:c r="AZ869" s="9"/>
      <x:c r="BA869" s="11" t="str">
        <x:f>HYPERLINK("https://www.mobygames.com/search/?q=Superscout","MobyGames")</x:f>
        <x:v>MobyGames</x:v>
      </x:c>
      <x:c r="BB869" s="9" t="str"/>
      <x:c r="BC869" s="9" t="str"/>
      <x:c r="BD869" s="9"/>
      <x:c r="BE869" s="9"/>
      <x:c r="BF869" s="11" t="str">
        <x:f>HYPERLINK("https://backloggd.com/search/games/Superscout/","Backloggd")</x:f>
        <x:v>Backloggd</x:v>
      </x:c>
      <x:c r="BG869" s="9"/>
      <x:c r="BH869" s="9"/>
      <x:c r="BI869" s="12" t="str">
        <x:v>No</x:v>
      </x:c>
      <x:c r="BJ869" s="12" t="str"/>
      <x:c r="BK869" s="12" t="str">
        <x:v>No</x:v>
      </x:c>
      <x:c r="BL869" s="12" t="str"/>
      <x:c r="BM869" s="12" t="str"/>
      <x:c r="BN869" s="12" t="str"/>
      <x:c r="BO869" s="12" t="str"/>
      <x:c r="BP869" s="12" t="str"/>
      <x:c r="BQ869" s="12" t="str"/>
    </x:row>
    <x:row r="870">
      <x:c r="A870" s="9" t="str">
        <x:v>pc-223</x:v>
      </x:c>
      <x:c r="B870" s="9" t="str">
        <x:v>knowledge-or-know-lady</x:v>
      </x:c>
      <x:c r="C870" s="9" t="str">
        <x:v>PC</x:v>
      </x:c>
      <x:c r="D870" s="9" t="str">
        <x:v>Knowledge, or know Lady</x:v>
      </x:c>
      <x:c r="E870" s="9" t="str"/>
      <x:c r="F870" s="9" t="str">
        <x:v>蒸汽满满工作室 (self-published)</x:v>
      </x:c>
      <x:c r="G870" s="9" t="str">
        <x:v>蒸汽满满工作室</x:v>
      </x:c>
      <x:c r="H870" s="9" t="n">
        <x:v>2024</x:v>
      </x:c>
      <x:c r="I870" s="9" t="str">
        <x:v>Yes</x:v>
      </x:c>
      <x:c r="J870" s="9" t="str">
        <x:v>Yes</x:v>
      </x:c>
      <x:c r="K870" s="9" t="str">
        <x:v>Yes</x:v>
      </x:c>
      <x:c r="L870" s="9" t="str">
        <x:v>No</x:v>
      </x:c>
      <x:c r="M870" s="9" t="str">
        <x:v>FMV dating sim</x:v>
      </x:c>
      <x:c r="N870" s="9" t="str">
        <x:v>Live-action</x:v>
      </x:c>
      <x:c r="O870" s="9" t="n">
        <x:v>10</x:v>
      </x:c>
      <x:c r="P870" s="9" t="str">
        <x:v>Interactive movie</x:v>
      </x:c>
      <x:c r="Q870" s="9" t="str">
        <x:v>Released</x:v>
      </x:c>
      <x:c r="R870" s="9" t="str">
        <x:v>Original production (China, verify)</x:v>
      </x:c>
      <x:c r="S870" s="9" t="str">
        <x:v>PS4, PS5, Xbox One, Xbox Series X|S, Switch (2025)</x:v>
      </x:c>
      <x:c r="T870" s="9" t="str">
        <x:v>Six heroines (actors verify)</x:v>
      </x:c>
      <x:c r="U870" s="9" t="n">
        <x:v>0</x:v>
      </x:c>
      <x:c r="V870" s="9" t="str">
        <x:v>Yes</x:v>
      </x:c>
      <x:c r="W870" s="9" t="str">
        <x:v>Windows; minimum spec verify</x:v>
      </x:c>
      <x:c r="X870" s="9" t="str">
        <x:v>Low</x:v>
      </x:c>
      <x:c r="Y870" s="9" t="str"/>
      <x:c r="Z870" s="9" t="str">
        <x:v>Unknown — verify</x:v>
      </x:c>
      <x:c r="AA870" s="9" t="str">
        <x:v>The only man at an all-girls university tries to survive six heroines in first-person live action.</x:v>
      </x:c>
      <x:c r="AB870" s="9" t="str">
        <x:v>None known</x:v>
      </x:c>
      <x:c r="AC870" s="9" t="str">
        <x:v>First-person live-action footage with choices</x:v>
      </x:c>
      <x:c r="AD870" s="9" t="str">
        <x:v>Easy</x:v>
      </x:c>
      <x:c r="AE870" s="9" t="str">
        <x:v>Several, including single-heroine, dual-heroine and multi-heroine endings</x:v>
      </x:c>
      <x:c r="AF870" s="9" t="str">
        <x:v>One of the biggest post-Love Is All Around FMV hits on Steam, with over 7,000 Overwhelmingly Positive reviews by 2025.</x:v>
      </x:c>
      <x:c r="AG870" s="9" t="str">
        <x:v>Digital; console versions 2025</x:v>
      </x:c>
      <x:c r="AH870" s="9" t="str">
        <x:v>Yes (Steam)</x:v>
      </x:c>
      <x:c r="AI870" s="9" t="str">
        <x:v>Easy</x:v>
      </x:c>
      <x:c r="AJ870" s="9" t="str">
        <x:v>Steam; also PlayStation, Xbox, Switch</x:v>
      </x:c>
      <x:c r="AK870" s="9" t="str">
        <x:v>Steam 29 Mar 2024 (SteamDB FMV tag list: 92.3% of 9,018 reviews). Developer, Chinese title and cast not confirmed (web-fetch budget).</x:v>
      </x:c>
      <x:c r="AL870" s="10"/>
      <x:c r="AM870" s="10"/>
      <x:c r="AN870" s="10"/>
      <x:c r="AO870" s="9"/>
      <x:c r="AP870" s="11" t="str">
        <x:f>HYPERLINK("https://www.pricecharting.com/search-products?q=Knowledge%2C+or+know+Lady+pc+games&amp;type=prices","PriceCharting")</x:f>
        <x:v>PriceCharting</x:v>
      </x:c>
      <x:c r="AQ870" s="9" t="n">
        <x:v>6.99</x:v>
      </x:c>
      <x:c r="AR870" s="11" t="str">
        <x:v>Steam</x:v>
      </x:c>
      <x:c r="AS870" s="9" t="str">
        <x:f>HYPERLINK("https://store.steampowered.com/app/2786680/","Store")</x:f>
        <x:v>Store</x:v>
      </x:c>
      <x:c r="AT870" s="9" t="str">
        <x:v>2026-10-24</x:v>
      </x:c>
      <x:c r="AU870" s="9"/>
      <x:c r="AV870" s="9"/>
      <x:c r="AW870" s="9"/>
      <x:c r="AX870" s="9"/>
      <x:c r="AY870" s="9"/>
      <x:c r="AZ870" s="9"/>
      <x:c r="BA870" s="11" t="str">
        <x:f>HYPERLINK("https://www.mobygames.com/search/?q=Knowledge%2C+or+know+Lady","MobyGames")</x:f>
        <x:v>MobyGames</x:v>
      </x:c>
      <x:c r="BB870" s="9" t="str"/>
      <x:c r="BC870" s="9" t="str"/>
      <x:c r="BD870" s="9"/>
      <x:c r="BE870" s="9"/>
      <x:c r="BF870" s="11" t="str">
        <x:f>HYPERLINK("https://backloggd.com/search/games/Knowledge%2C%20or%20know%20Lady/","Backloggd")</x:f>
        <x:v>Backloggd</x:v>
      </x:c>
      <x:c r="BG870" s="9"/>
      <x:c r="BH870" s="9"/>
      <x:c r="BI870" s="12" t="str">
        <x:v>No</x:v>
      </x:c>
      <x:c r="BJ870" s="12" t="str"/>
      <x:c r="BK870" s="12" t="str">
        <x:v>No</x:v>
      </x:c>
      <x:c r="BL870" s="12" t="str"/>
      <x:c r="BM870" s="12" t="str"/>
      <x:c r="BN870" s="12" t="str"/>
      <x:c r="BO870" s="12" t="str"/>
      <x:c r="BP870" s="12" t="str"/>
      <x:c r="BQ870" s="12" t="str"/>
    </x:row>
    <x:row r="871">
      <x:c r="A871" s="9" t="str">
        <x:v>pc-224</x:v>
      </x:c>
      <x:c r="B871" s="9" t="str">
        <x:v>five-hearts-under-one-roof</x:v>
      </x:c>
      <x:c r="C871" s="9" t="str">
        <x:v>PC</x:v>
      </x:c>
      <x:c r="D871" s="9" t="str">
        <x:v>Five Hearts Under One Roof</x:v>
      </x:c>
      <x:c r="E871" s="9" t="str"/>
      <x:c r="F871" s="9" t="str">
        <x:v>StoryTaco (developer), 3Y Corporation (film co-production)</x:v>
      </x:c>
      <x:c r="G871" s="9" t="str">
        <x:v>StoryTaco</x:v>
      </x:c>
      <x:c r="H871" s="9" t="n">
        <x:v>2024</x:v>
      </x:c>
      <x:c r="I871" s="9" t="str">
        <x:v>Yes</x:v>
      </x:c>
      <x:c r="J871" s="9" t="str">
        <x:v>Yes</x:v>
      </x:c>
      <x:c r="K871" s="9" t="str">
        <x:v>Yes</x:v>
      </x:c>
      <x:c r="L871" s="9" t="str">
        <x:v>No</x:v>
      </x:c>
      <x:c r="M871" s="9" t="str">
        <x:v>FMV dating sim</x:v>
      </x:c>
      <x:c r="N871" s="9" t="str">
        <x:v>Live-action</x:v>
      </x:c>
      <x:c r="O871" s="9" t="n">
        <x:v>10</x:v>
      </x:c>
      <x:c r="P871" s="9" t="str">
        <x:v>Interactive movie</x:v>
      </x:c>
      <x:c r="Q871" s="9" t="str">
        <x:v>Released</x:v>
      </x:c>
      <x:c r="R871" s="9" t="str">
        <x:v>Original production (South Korea)</x:v>
      </x:c>
      <x:c r="S871" s="9" t="str">
        <x:v>PS4/PS5, Xbox (verify), phones (Season 2, 2026)</x:v>
      </x:c>
      <x:c r="T871" s="9" t="str">
        <x:v>Korean cast (names verify); heroines include Mal-sook Go, Gran Dong, Min-jung Park</x:v>
      </x:c>
      <x:c r="U871" s="9" t="n">
        <x:v>0</x:v>
      </x:c>
      <x:c r="V871" s="9" t="str">
        <x:v>Yes</x:v>
      </x:c>
      <x:c r="W871" s="9" t="str">
        <x:v>Windows; minimum spec verify</x:v>
      </x:c>
      <x:c r="X871" s="9" t="str">
        <x:v>Low</x:v>
      </x:c>
      <x:c r="Y871" s="9" t="str"/>
      <x:c r="Z871" s="9" t="str">
        <x:v>Unknown — verify</x:v>
      </x:c>
      <x:c r="AA871" s="9" t="str">
        <x:v>A Korean live-action romance in which the landlord of a boarding house falls for his tenants, and a worldwide FMV hit.</x:v>
      </x:c>
      <x:c r="AB871" s="9" t="str">
        <x:v>None known</x:v>
      </x:c>
      <x:c r="AC871" s="9" t="str">
        <x:v>Live-action footage with choices</x:v>
      </x:c>
      <x:c r="AD871" s="9" t="str">
        <x:v>Easy</x:v>
      </x:c>
      <x:c r="AE871" s="9" t="str">
        <x:v>Multiple, by heroine route</x:v>
      </x:c>
      <x:c r="AF871" s="9" t="str">
        <x:v>StoryTaco reported 300,000 Steam sales for Season 1; Season 2 passed 100,000 wishlists before launch.</x:v>
      </x:c>
      <x:c r="AG871" s="9" t="str">
        <x:v>Season 2 (Steam, Nov 2025) as a separate release; demo</x:v>
      </x:c>
      <x:c r="AH871" s="9" t="str">
        <x:v>Yes (Steam)</x:v>
      </x:c>
      <x:c r="AI871" s="9" t="str">
        <x:v>Easy</x:v>
      </x:c>
      <x:c r="AJ871" s="9" t="str">
        <x:v>Steam; also PlayStation and Xbox (verify)</x:v>
      </x:c>
      <x:c r="AK871" s="9" t="str">
        <x:v>Season 1 Steam 3 Oct 2024 (SteamDB: 88.6% of 7,091). Season 2 Steam Nov 2025 (92.1% of 2,623). A Korean production in the wave started by Chinese FMV dating sims; treat Season 2 as a sequel record if added.</x:v>
      </x:c>
      <x:c r="AL871" s="10"/>
      <x:c r="AM871" s="10"/>
      <x:c r="AN871" s="10"/>
      <x:c r="AO871" s="9"/>
      <x:c r="AP871" s="11" t="str">
        <x:f>HYPERLINK("https://www.pricecharting.com/search-products?q=Five+Hearts+Under+One+Roof+pc+games&amp;type=prices","PriceCharting")</x:f>
        <x:v>PriceCharting</x:v>
      </x:c>
      <x:c r="AQ871" s="9" t="n">
        <x:v>13.99</x:v>
      </x:c>
      <x:c r="AR871" s="11" t="str">
        <x:v>GOG</x:v>
      </x:c>
      <x:c r="AS871" s="9" t="str">
        <x:f>HYPERLINK("https://www.gog.com/en/game/five_hearts_under_one_roof","Store")</x:f>
        <x:v>Store</x:v>
      </x:c>
      <x:c r="AT871" s="9" t="str">
        <x:v>2026-10-24</x:v>
      </x:c>
      <x:c r="AU871" s="9"/>
      <x:c r="AV871" s="9"/>
      <x:c r="AW871" s="9"/>
      <x:c r="AX871" s="9"/>
      <x:c r="AY871" s="9"/>
      <x:c r="AZ871" s="9"/>
      <x:c r="BA871" s="11" t="str">
        <x:f>HYPERLINK("https://www.mobygames.com/search/?q=Five+Hearts+Under+One+Roof","MobyGames")</x:f>
        <x:v>MobyGames</x:v>
      </x:c>
      <x:c r="BB871" s="9" t="str"/>
      <x:c r="BC871" s="9" t="str"/>
      <x:c r="BD871" s="9"/>
      <x:c r="BE871" s="9"/>
      <x:c r="BF871" s="11" t="str">
        <x:f>HYPERLINK("https://backloggd.com/search/games/Five%20Hearts%20Under%20One%20Roof/","Backloggd")</x:f>
        <x:v>Backloggd</x:v>
      </x:c>
      <x:c r="BG871" s="9"/>
      <x:c r="BH871" s="9"/>
      <x:c r="BI871" s="12" t="str">
        <x:v>No</x:v>
      </x:c>
      <x:c r="BJ871" s="12" t="str"/>
      <x:c r="BK871" s="12" t="str">
        <x:v>No</x:v>
      </x:c>
      <x:c r="BL871" s="12" t="str"/>
      <x:c r="BM871" s="12" t="str"/>
      <x:c r="BN871" s="12" t="str"/>
      <x:c r="BO871" s="12" t="str"/>
      <x:c r="BP871" s="12" t="str"/>
      <x:c r="BQ871" s="12" t="str"/>
    </x:row>
    <x:row r="872">
      <x:c r="A872" s="9" t="str">
        <x:v>pc-225</x:v>
      </x:c>
      <x:c r="B872" s="9" t="str">
        <x:v>revenge-on-gold-diggers</x:v>
      </x:c>
      <x:c r="C872" s="9" t="str">
        <x:v>PC</x:v>
      </x:c>
      <x:c r="D872" s="9" t="str">
        <x:v>Revenge on Gold Diggers</x:v>
      </x:c>
      <x:c r="E872" s="9" t="str">
        <x:v>情感反诈模拟器 (Anti Romance Scam Simulator); first titled 捞女游戏</x:v>
      </x:c>
      <x:c r="F872" s="9" t="str">
        <x:v>Front Studio</x:v>
      </x:c>
      <x:c r="G872" s="9" t="str">
        <x:v>Front Studio</x:v>
      </x:c>
      <x:c r="H872" s="9" t="n">
        <x:v>2025</x:v>
      </x:c>
      <x:c r="I872" s="9" t="str">
        <x:v>Yes</x:v>
      </x:c>
      <x:c r="J872" s="9" t="str">
        <x:v>Yes</x:v>
      </x:c>
      <x:c r="K872" s="9" t="str">
        <x:v>Yes</x:v>
      </x:c>
      <x:c r="L872" s="9" t="str">
        <x:v>No</x:v>
      </x:c>
      <x:c r="M872" s="9" t="str">
        <x:v>FMV drama / romance</x:v>
      </x:c>
      <x:c r="N872" s="9" t="str">
        <x:v>Live-action</x:v>
      </x:c>
      <x:c r="O872" s="9" t="n">
        <x:v>10</x:v>
      </x:c>
      <x:c r="P872" s="9" t="str">
        <x:v>Interactive movie</x:v>
      </x:c>
      <x:c r="Q872" s="9" t="str">
        <x:v>Released</x:v>
      </x:c>
      <x:c r="R872" s="9" t="str">
        <x:v>Original production (China)</x:v>
      </x:c>
      <x:c r="S872" s="9" t="str">
        <x:v>macOS; PS5 (Apr 2026)</x:v>
      </x:c>
      <x:c r="T872" s="9" t="str">
        <x:v>Xu Yue (Wu Yulun), Xu Wei (Pan Mengna), Liu Mengru (Chen Xinxin), Li Keyi (Tang Xiaotian), Yang Yi (Song Shiqi), Zhao Lei (He Yueying), Chen Huiyan (Lin Fang)</x:v>
      </x:c>
      <x:c r="U872" s="9" t="n">
        <x:v>0</x:v>
      </x:c>
      <x:c r="V872" s="9" t="str">
        <x:v>Yes</x:v>
      </x:c>
      <x:c r="W872" s="9" t="str">
        <x:v>Windows; minimum spec verify; also macOS</x:v>
      </x:c>
      <x:c r="X872" s="9" t="str">
        <x:v>Low</x:v>
      </x:c>
      <x:c r="Y872" s="9" t="str"/>
      <x:c r="Z872" s="9" t="str">
        <x:v>8 hr of footage; one route 2–3 hr (verify)</x:v>
      </x:c>
      <x:c r="AA872" s="9" t="str">
        <x:v>The controversial Chinese FMV hit about infiltrating a gang of romance scammers, which outsold Black Myth: Wukong on Steam China.</x:v>
      </x:c>
      <x:c r="AB872" s="9" t="str">
        <x:v>None known</x:v>
      </x:c>
      <x:c r="AC872" s="9" t="str">
        <x:v>472 minutes of live-action footage with choices</x:v>
      </x:c>
      <x:c r="AD872" s="9" t="str">
        <x:v>Moderate; wrong choices end runs early</x:v>
      </x:c>
      <x:c r="AE872" s="9" t="str">
        <x:v>38 endings</x:v>
      </x:c>
      <x:c r="AF872" s="9" t="str">
        <x:v>Renamed in Chinese after a backlash over its sexist title, and its director's social accounts were banned after launch.</x:v>
      </x:c>
      <x:c r="AG872" s="9" t="str">
        <x:v>Digital; PS5 version 2026</x:v>
      </x:c>
      <x:c r="AH872" s="9" t="str">
        <x:v>Yes (Steam)</x:v>
      </x:c>
      <x:c r="AI872" s="9" t="str">
        <x:v>Easy</x:v>
      </x:c>
      <x:c r="AJ872" s="9" t="str">
        <x:v>Steam (Windows/macOS); PS5</x:v>
      </x:c>
      <x:c r="AK872" s="9" t="str">
        <x:v>Steam 19 Jun 2025. SteamDB: 79.2% of 51,260 reviews (Wikipedia gives 96% positive earlier). Directed by Mark Wu. Reported delisted or blocked in China after the controversy (Polish ppe.pl report, verify).</x:v>
      </x:c>
      <x:c r="AL872" s="10"/>
      <x:c r="AM872" s="10"/>
      <x:c r="AN872" s="10"/>
      <x:c r="AO872" s="9"/>
      <x:c r="AP872" s="11" t="str">
        <x:f>HYPERLINK("https://www.pricecharting.com/search-products?q=Revenge+on+Gold+Diggers+pc+games&amp;type=prices","PriceCharting")</x:f>
        <x:v>PriceCharting</x:v>
      </x:c>
      <x:c r="AQ872" s="9" t="n">
        <x:v>6.99</x:v>
      </x:c>
      <x:c r="AR872" s="11" t="str">
        <x:v>Steam</x:v>
      </x:c>
      <x:c r="AS872" s="9" t="str">
        <x:f>HYPERLINK("https://store.steampowered.com/app/3350200/","Store")</x:f>
        <x:v>Store</x:v>
      </x:c>
      <x:c r="AT872" s="9" t="str">
        <x:v>2026-10-24</x:v>
      </x:c>
      <x:c r="AU872" s="9"/>
      <x:c r="AV872" s="9"/>
      <x:c r="AW872" s="9"/>
      <x:c r="AX872" s="9"/>
      <x:c r="AY872" s="9"/>
      <x:c r="AZ872" s="9"/>
      <x:c r="BA872" s="11" t="str">
        <x:f>HYPERLINK("https://www.mobygames.com/search/?q=Revenge+on+Gold+Diggers","MobyGames")</x:f>
        <x:v>MobyGames</x:v>
      </x:c>
      <x:c r="BB872" s="9" t="str"/>
      <x:c r="BC872" s="9" t="str"/>
      <x:c r="BD872" s="9"/>
      <x:c r="BE872" s="11" t="str">
        <x:f>HYPERLINK("https://en.wikipedia.org/wiki/Revenge_on_Gold_Diggers","Wikipedia")</x:f>
        <x:v>Wikipedia</x:v>
      </x:c>
      <x:c r="BF872" s="11" t="str">
        <x:f>HYPERLINK("https://backloggd.com/search/games/Revenge%20on%20Gold%20Diggers/","Backloggd")</x:f>
        <x:v>Backloggd</x:v>
      </x:c>
      <x:c r="BG872" s="9"/>
      <x:c r="BH872" s="9"/>
      <x:c r="BI872" s="12" t="str">
        <x:v>No</x:v>
      </x:c>
      <x:c r="BJ872" s="12" t="str"/>
      <x:c r="BK872" s="12" t="str">
        <x:v>No</x:v>
      </x:c>
      <x:c r="BL872" s="12" t="str"/>
      <x:c r="BM872" s="12" t="str"/>
      <x:c r="BN872" s="12" t="str"/>
      <x:c r="BO872" s="12" t="str"/>
      <x:c r="BP872" s="12" t="str"/>
      <x:c r="BQ872" s="12" t="str"/>
    </x:row>
    <x:row r="873">
      <x:c r="A873" s="9" t="str">
        <x:v>pc-226</x:v>
      </x:c>
      <x:c r="B873" s="9" t="str">
        <x:v>love-is-all-around-2</x:v>
      </x:c>
      <x:c r="C873" s="9" t="str">
        <x:v>PC</x:v>
      </x:c>
      <x:c r="D873" s="9" t="str">
        <x:v>Love Is All Around 2</x:v>
      </x:c>
      <x:c r="E873" s="9" t="str"/>
      <x:c r="F873" s="9" t="str">
        <x:v>intiny</x:v>
      </x:c>
      <x:c r="G873" s="9" t="str">
        <x:v>intiny (verify)</x:v>
      </x:c>
      <x:c r="H873" s="9" t="n">
        <x:v>2025</x:v>
      </x:c>
      <x:c r="I873" s="9" t="str">
        <x:v>Yes</x:v>
      </x:c>
      <x:c r="J873" s="9" t="str">
        <x:v>Yes</x:v>
      </x:c>
      <x:c r="K873" s="9" t="str">
        <x:v>Yes</x:v>
      </x:c>
      <x:c r="L873" s="9" t="str">
        <x:v>No</x:v>
      </x:c>
      <x:c r="M873" s="9" t="str">
        <x:v>FMV historical romance</x:v>
      </x:c>
      <x:c r="N873" s="9" t="str">
        <x:v>Live-action</x:v>
      </x:c>
      <x:c r="O873" s="9" t="n">
        <x:v>10</x:v>
      </x:c>
      <x:c r="P873" s="9" t="str">
        <x:v>Interactive movie</x:v>
      </x:c>
      <x:c r="Q873" s="9" t="str">
        <x:v>Released</x:v>
      </x:c>
      <x:c r="R873" s="9" t="str">
        <x:v>Original production (China); sequel to Love Is All Around</x:v>
      </x:c>
      <x:c r="S873" s="9" t="str">
        <x:v>PS4/PS5 (demo on PS Store), Xbox (verify)</x:v>
      </x:c>
      <x:c r="T873" s="9" t="str">
        <x:v>Several cast members return from the first game (names verify)</x:v>
      </x:c>
      <x:c r="U873" s="9" t="n">
        <x:v>0</x:v>
      </x:c>
      <x:c r="V873" s="9" t="str">
        <x:v>Yes</x:v>
      </x:c>
      <x:c r="W873" s="9" t="str">
        <x:v>Windows; minimum spec verify</x:v>
      </x:c>
      <x:c r="X873" s="9" t="str">
        <x:v>Low</x:v>
      </x:c>
      <x:c r="Y873" s="9" t="str"/>
      <x:c r="Z873" s="9" t="str">
        <x:v>Unknown — verify</x:v>
      </x:c>
      <x:c r="AA873" s="9" t="str">
        <x:v>The team behind the game that started China's FMV boom moves to a costume drama in a fictional ancient Chinese world.</x:v>
      </x:c>
      <x:c r="AB873" s="9" t="str">
        <x:v>None known</x:v>
      </x:c>
      <x:c r="AC873" s="9" t="str">
        <x:v>Live-action footage with choices</x:v>
      </x:c>
      <x:c r="AD873" s="9" t="str">
        <x:v>Easy</x:v>
      </x:c>
      <x:c r="AE873" s="9" t="str">
        <x:v>Multiple (verify)</x:v>
      </x:c>
      <x:c r="AF873" s="9" t="str">
        <x:v>A Steam demo in June 2025 drew a better score than the full game.</x:v>
      </x:c>
      <x:c r="AG873" s="9" t="str">
        <x:v>Digital</x:v>
      </x:c>
      <x:c r="AH873" s="9" t="str">
        <x:v>Yes (Steam)</x:v>
      </x:c>
      <x:c r="AI873" s="9" t="str">
        <x:v>Easy</x:v>
      </x:c>
      <x:c r="AJ873" s="9" t="str">
        <x:v>Steam; console versions verify</x:v>
      </x:c>
      <x:c r="AK873" s="9" t="str">
        <x:v>Steam 16/17 Jul 2025. SteamDB: 80.4% of 4,438 reviews. Sequel, so its own gameId.</x:v>
      </x:c>
      <x:c r="AL873" s="10"/>
      <x:c r="AM873" s="10"/>
      <x:c r="AN873" s="10"/>
      <x:c r="AO873" s="9"/>
      <x:c r="AP873" s="11" t="str">
        <x:f>HYPERLINK("https://www.pricecharting.com/search-products?q=Love+Is+All+Around+2+pc+games&amp;type=prices","PriceCharting")</x:f>
        <x:v>PriceCharting</x:v>
      </x:c>
      <x:c r="AQ873" s="9" t="n">
        <x:v>9.99</x:v>
      </x:c>
      <x:c r="AR873" s="11" t="str">
        <x:v>Steam</x:v>
      </x:c>
      <x:c r="AS873" s="9" t="str">
        <x:f>HYPERLINK("https://store.steampowered.com/app/3282390/","Store")</x:f>
        <x:v>Store</x:v>
      </x:c>
      <x:c r="AT873" s="9" t="str">
        <x:v>2026-10-24</x:v>
      </x:c>
      <x:c r="AU873" s="9"/>
      <x:c r="AV873" s="9"/>
      <x:c r="AW873" s="9"/>
      <x:c r="AX873" s="9"/>
      <x:c r="AY873" s="9"/>
      <x:c r="AZ873" s="9"/>
      <x:c r="BA873" s="11" t="str">
        <x:f>HYPERLINK("https://www.mobygames.com/search/?q=Love+Is+All+Around+2","MobyGames")</x:f>
        <x:v>MobyGames</x:v>
      </x:c>
      <x:c r="BB873" s="9" t="str"/>
      <x:c r="BC873" s="9" t="str"/>
      <x:c r="BD873" s="9"/>
      <x:c r="BE873" s="9"/>
      <x:c r="BF873" s="11" t="str">
        <x:f>HYPERLINK("https://backloggd.com/search/games/Love%20Is%20All%20Around%202/","Backloggd")</x:f>
        <x:v>Backloggd</x:v>
      </x:c>
      <x:c r="BG873" s="9"/>
      <x:c r="BH873" s="9"/>
      <x:c r="BI873" s="12" t="str">
        <x:v>No</x:v>
      </x:c>
      <x:c r="BJ873" s="12" t="str"/>
      <x:c r="BK873" s="12" t="str">
        <x:v>No</x:v>
      </x:c>
      <x:c r="BL873" s="12" t="str"/>
      <x:c r="BM873" s="12" t="str"/>
      <x:c r="BN873" s="12" t="str"/>
      <x:c r="BO873" s="12" t="str"/>
      <x:c r="BP873" s="12" t="str"/>
      <x:c r="BQ873" s="12" t="str"/>
    </x:row>
    <x:row r="874">
      <x:c r="A874" s="9" t="str">
        <x:v>pc-227</x:v>
      </x:c>
      <x:c r="B874" s="9" t="str">
        <x:v>dead-take</x:v>
      </x:c>
      <x:c r="C874" s="9" t="str">
        <x:v>PC</x:v>
      </x:c>
      <x:c r="D874" s="9" t="str">
        <x:v>Dead Take</x:v>
      </x:c>
      <x:c r="E874" s="9" t="str"/>
      <x:c r="F874" s="9" t="str">
        <x:v>Surgent Studios</x:v>
      </x:c>
      <x:c r="G874" s="9" t="str">
        <x:v>Pocketpair Publishing</x:v>
      </x:c>
      <x:c r="H874" s="9" t="n">
        <x:v>2025</x:v>
      </x:c>
      <x:c r="I874" s="9" t="str">
        <x:v>Yes</x:v>
      </x:c>
      <x:c r="J874" s="9" t="str">
        <x:v>Yes</x:v>
      </x:c>
      <x:c r="K874" s="9" t="str">
        <x:v>Yes</x:v>
      </x:c>
      <x:c r="L874" s="9" t="str">
        <x:v>No</x:v>
      </x:c>
      <x:c r="M874" s="9" t="str">
        <x:v>First-person horror adventure with FMV</x:v>
      </x:c>
      <x:c r="N874" s="9" t="str">
        <x:v>Live-action + CG</x:v>
      </x:c>
      <x:c r="O874" s="9" t="n">
        <x:v>5</x:v>
      </x:c>
      <x:c r="P874" s="9" t="str">
        <x:v>FMV adventure</x:v>
      </x:c>
      <x:c r="Q874" s="9" t="str">
        <x:v>Released</x:v>
      </x:c>
      <x:c r="R874" s="9" t="str">
        <x:v>Original production</x:v>
      </x:c>
      <x:c r="S874" s="9" t="str">
        <x:v>None (Windows only)</x:v>
      </x:c>
      <x:c r="T874" s="9" t="str">
        <x:v>Neil Newbon (Chase Lowry), Ben Starr (Vinny Monroe), Jane Perry (Lia Cain); also Alanah Pearce, Matthew Mercer, Travis Willingham, Laura Bailey, Sam Lake</x:v>
      </x:c>
      <x:c r="U874" s="9" t="n">
        <x:v>0</x:v>
      </x:c>
      <x:c r="V874" s="9" t="str">
        <x:v>Yes</x:v>
      </x:c>
      <x:c r="W874" s="9" t="str">
        <x:v>Windows; Unreal Engine 5; minimum spec verify</x:v>
      </x:c>
      <x:c r="X874" s="9" t="str">
        <x:v>Low</x:v>
      </x:c>
      <x:c r="Y874" s="9" t="str"/>
      <x:c r="Z874" s="9" t="str">
        <x:v>3–5 hr (verify)</x:v>
      </x:c>
      <x:c r="AA874" s="9" t="str">
        <x:v>Astarion and Clive Rosfield's actors star in a Hollywood horror where solving puzzles in a mansion unlocks the live-action footage of a party gone wrong.</x:v>
      </x:c>
      <x:c r="AB874" s="9" t="str">
        <x:v>None known</x:v>
      </x:c>
      <x:c r="AC874" s="9" t="str">
        <x:v>Live-action FMV clips unlocked by puzzles inside a real-time 3D mansion</x:v>
      </x:c>
      <x:c r="AD874" s="9" t="str">
        <x:v>Easy puzzles</x:v>
      </x:c>
      <x:c r="AE874" s="9" t="str">
        <x:v>Unknown — verify</x:v>
      </x:c>
      <x:c r="AF874" s="9" t="str">
        <x:v>Directed by actor Abubakar Salim; Jane Perry's role earned a BAFTA Games Award nomination for supporting performance.</x:v>
      </x:c>
      <x:c r="AG874" s="9" t="str">
        <x:v>Digital only</x:v>
      </x:c>
      <x:c r="AH874" s="9" t="str">
        <x:v>Yes (Steam)</x:v>
      </x:c>
      <x:c r="AI874" s="9" t="str">
        <x:v>Easy</x:v>
      </x:c>
      <x:c r="AJ874" s="9" t="str">
        <x:v>Steam</x:v>
      </x:c>
      <x:c r="AK874" s="9" t="str">
        <x:v>Steam 31 Jul 2025. A 3D exploration game with FMV reveals rather than an all-video game.</x:v>
      </x:c>
      <x:c r="AL874" s="10"/>
      <x:c r="AM874" s="10"/>
      <x:c r="AN874" s="10"/>
      <x:c r="AO874" s="9"/>
      <x:c r="AP874" s="11" t="str">
        <x:f>HYPERLINK("https://www.pricecharting.com/search-products?q=Dead+Take+pc+games&amp;type=prices","PriceCharting")</x:f>
        <x:v>PriceCharting</x:v>
      </x:c>
      <x:c r="AQ874" s="9" t="n">
        <x:v>8.99</x:v>
      </x:c>
      <x:c r="AR874" s="11" t="str">
        <x:v>Steam</x:v>
      </x:c>
      <x:c r="AS874" s="9" t="str">
        <x:f>HYPERLINK("https://store.steampowered.com/app/3352690/","Store")</x:f>
        <x:v>Store</x:v>
      </x:c>
      <x:c r="AT874" s="9" t="str">
        <x:v>2026-10-24</x:v>
      </x:c>
      <x:c r="AU874" s="9"/>
      <x:c r="AV874" s="9"/>
      <x:c r="AW874" s="9"/>
      <x:c r="AX874" s="9"/>
      <x:c r="AY874" s="9"/>
      <x:c r="AZ874" s="9"/>
      <x:c r="BA874" s="11" t="str">
        <x:f>HYPERLINK("https://www.mobygames.com/search/?q=Dead+Take","MobyGames")</x:f>
        <x:v>MobyGames</x:v>
      </x:c>
      <x:c r="BB874" s="9" t="str">
        <x:v>76%</x:v>
      </x:c>
      <x:c r="BC874" s="9" t="str">
        <x:v>Metacritic (PC), review count not read</x:v>
      </x:c>
      <x:c r="BD874" s="9"/>
      <x:c r="BE874" s="9"/>
      <x:c r="BF874" s="11" t="str">
        <x:f>HYPERLINK("https://backloggd.com/search/games/Dead%20Take/","Backloggd")</x:f>
        <x:v>Backloggd</x:v>
      </x:c>
      <x:c r="BG874" s="9"/>
      <x:c r="BH874" s="9"/>
      <x:c r="BI874" s="12" t="str">
        <x:v>No</x:v>
      </x:c>
      <x:c r="BJ874" s="12" t="str"/>
      <x:c r="BK874" s="12" t="str">
        <x:v>No</x:v>
      </x:c>
      <x:c r="BL874" s="12" t="str"/>
      <x:c r="BM874" s="12" t="str"/>
      <x:c r="BN874" s="12" t="str"/>
      <x:c r="BO874" s="12" t="str"/>
      <x:c r="BP874" s="12" t="str"/>
      <x:c r="BQ874" s="12" t="str"/>
    </x:row>
    <x:row r="875">
      <x:c r="A875" s="9" t="str">
        <x:v>pc-228</x:v>
      </x:c>
      <x:c r="B875" s="9" t="str">
        <x:v>road-to-empress</x:v>
      </x:c>
      <x:c r="C875" s="9" t="str">
        <x:v>PC</x:v>
      </x:c>
      <x:c r="D875" s="9" t="str">
        <x:v>Road to Empress I</x:v>
      </x:c>
      <x:c r="E875" s="9" t="str">
        <x:v>Road to Empress</x:v>
      </x:c>
      <x:c r="F875" s="9" t="str">
        <x:v>New One Studio (TiMi Studio Group-backed)</x:v>
      </x:c>
      <x:c r="G875" s="9" t="str">
        <x:v>New One Studio; Ariel; Sixjoy Hong Kong Limited</x:v>
      </x:c>
      <x:c r="H875" s="9" t="n">
        <x:v>2025</x:v>
      </x:c>
      <x:c r="I875" s="9" t="str">
        <x:v>Yes</x:v>
      </x:c>
      <x:c r="J875" s="9" t="str">
        <x:v>Yes</x:v>
      </x:c>
      <x:c r="K875" s="9" t="str">
        <x:v>Yes</x:v>
      </x:c>
      <x:c r="L875" s="9" t="str">
        <x:v>No</x:v>
      </x:c>
      <x:c r="M875" s="9" t="str">
        <x:v>FMV palace drama</x:v>
      </x:c>
      <x:c r="N875" s="9" t="str">
        <x:v>Live-action</x:v>
      </x:c>
      <x:c r="O875" s="9" t="n">
        <x:v>10</x:v>
      </x:c>
      <x:c r="P875" s="9" t="str">
        <x:v>Interactive movie</x:v>
      </x:c>
      <x:c r="Q875" s="9" t="str">
        <x:v>Released</x:v>
      </x:c>
      <x:c r="R875" s="9" t="str">
        <x:v>Original production (China), inspired by Wu Zetian</x:v>
      </x:c>
      <x:c r="S875" s="9" t="str">
        <x:v>TapTap and WeChat mobile versions</x:v>
      </x:c>
      <x:c r="T875" s="9" t="str">
        <x:v>Real actors (names verify); player character Wu Yuanzhao</x:v>
      </x:c>
      <x:c r="U875" s="9" t="n">
        <x:v>0</x:v>
      </x:c>
      <x:c r="V875" s="9" t="str">
        <x:v>Yes</x:v>
      </x:c>
      <x:c r="W875" s="9" t="str">
        <x:v>Windows; minimum spec verify</x:v>
      </x:c>
      <x:c r="X875" s="9" t="str">
        <x:v>Low</x:v>
      </x:c>
      <x:c r="Y875" s="9" t="str"/>
      <x:c r="Z875" s="9" t="str">
        <x:v>Over 1,200 minutes of footage across both parts</x:v>
      </x:c>
      <x:c r="AA875" s="9" t="str">
        <x:v>A palace-intrigue FMV drama inspired by China's only female emperor that sold a million copies in two weeks.</x:v>
      </x:c>
      <x:c r="AB875" s="9" t="str">
        <x:v>None known</x:v>
      </x:c>
      <x:c r="AC875" s="9" t="str">
        <x:v>Live-action footage with choices</x:v>
      </x:c>
      <x:c r="AD875" s="9" t="str">
        <x:v>Moderate; choices can end runs</x:v>
      </x:c>
      <x:c r="AE875" s="9" t="str">
        <x:v>More than 100 possible endings</x:v>
      </x:c>
      <x:c r="AF875" s="9" t="str">
        <x:v>From New One Studio, maker of 2019's The Invisible Guardian; a 300,000-word script and a reported budget in the tens of millions of RMB.</x:v>
      </x:c>
      <x:c r="AG875" s="9" t="str">
        <x:v>Part II released separately as Road to Empress II</x:v>
      </x:c>
      <x:c r="AH875" s="9" t="str">
        <x:v>Yes (Steam)</x:v>
      </x:c>
      <x:c r="AI875" s="9" t="str">
        <x:v>Easy</x:v>
      </x:c>
      <x:c r="AJ875" s="9" t="str">
        <x:v>Steam; mobile via TapTap/WeChat (China)</x:v>
      </x:c>
      <x:c r="AK875" s="9" t="str">
        <x:v>Steam 9 Sep 2025; over one million copies across platforms by 22 Sep 2025 (KrASIA). SteamDB: 84.4% of 13,260. Producer Demi, director Zhi Zhu.</x:v>
      </x:c>
      <x:c r="AL875" s="10"/>
      <x:c r="AM875" s="10"/>
      <x:c r="AN875" s="10"/>
      <x:c r="AO875" s="9"/>
      <x:c r="AP875" s="11" t="str">
        <x:f>HYPERLINK("https://www.pricecharting.com/search-products?q=Road+to+Empress+I+pc+games&amp;type=prices","PriceCharting")</x:f>
        <x:v>PriceCharting</x:v>
      </x:c>
      <x:c r="AQ875" s="9" t="n">
        <x:v>8.49</x:v>
      </x:c>
      <x:c r="AR875" s="11" t="str">
        <x:v>Steam</x:v>
      </x:c>
      <x:c r="AS875" s="9" t="str">
        <x:f>HYPERLINK("https://store.steampowered.com/app/3478050/","Store")</x:f>
        <x:v>Store</x:v>
      </x:c>
      <x:c r="AT875" s="9" t="str">
        <x:v>2026-10-24</x:v>
      </x:c>
      <x:c r="AU875" s="9"/>
      <x:c r="AV875" s="9"/>
      <x:c r="AW875" s="9"/>
      <x:c r="AX875" s="9"/>
      <x:c r="AY875" s="9"/>
      <x:c r="AZ875" s="9"/>
      <x:c r="BA875" s="11" t="str">
        <x:f>HYPERLINK("https://www.mobygames.com/search/?q=Road+to+Empress+I","MobyGames")</x:f>
        <x:v>MobyGames</x:v>
      </x:c>
      <x:c r="BB875" s="9" t="str"/>
      <x:c r="BC875" s="9" t="str"/>
      <x:c r="BD875" s="9"/>
      <x:c r="BE875" s="9"/>
      <x:c r="BF875" s="11" t="str">
        <x:f>HYPERLINK("https://backloggd.com/search/games/Road%20to%20Empress%20I/","Backloggd")</x:f>
        <x:v>Backloggd</x:v>
      </x:c>
      <x:c r="BG875" s="9"/>
      <x:c r="BH875" s="9"/>
      <x:c r="BI875" s="12" t="str">
        <x:v>No</x:v>
      </x:c>
      <x:c r="BJ875" s="12" t="str"/>
      <x:c r="BK875" s="12" t="str">
        <x:v>No</x:v>
      </x:c>
      <x:c r="BL875" s="12" t="str"/>
      <x:c r="BM875" s="12" t="str"/>
      <x:c r="BN875" s="12" t="str"/>
      <x:c r="BO875" s="12" t="str"/>
      <x:c r="BP875" s="12" t="str"/>
      <x:c r="BQ875" s="12" t="str"/>
    </x:row>
    <x:row r="876">
      <x:c r="A876" s="9" t="str">
        <x:v>dvd-1</x:v>
      </x:c>
      <x:c r="B876" s="9" t="str">
        <x:v>dragons-lair</x:v>
      </x:c>
      <x:c r="C876" s="9" t="str">
        <x:v>DVD</x:v>
      </x:c>
      <x:c r="D876" s="9" t="str">
        <x:v>Dragon's Lair</x:v>
      </x:c>
      <x:c r="E876" s="9" t="str"/>
      <x:c r="F876" s="9" t="str">
        <x:v>Digital Leisure (DVD conversion); original by Advanced Microcomputer Systems / Don Bluth Productions</x:v>
      </x:c>
      <x:c r="G876" s="9" t="str">
        <x:v>Digital Leisure</x:v>
      </x:c>
      <x:c r="H876" s="9" t="n">
        <x:v>1998</x:v>
      </x:c>
      <x:c r="I876" s="9" t="str">
        <x:v>Yes</x:v>
      </x:c>
      <x:c r="J876" s="9" t="str">
        <x:v>No</x:v>
      </x:c>
      <x:c r="K876" s="9" t="str">
        <x:v>No</x:v>
      </x:c>
      <x:c r="L876" s="9" t="str">
        <x:v>No</x:v>
      </x:c>
      <x:c r="M876" s="9" t="str">
        <x:v>Interactive movie / reflex action</x:v>
      </x:c>
      <x:c r="N876" s="9" t="str">
        <x:v>Animated</x:v>
      </x:c>
      <x:c r="O876" s="9" t="n">
        <x:v>10</x:v>
      </x:c>
      <x:c r="P876" s="9" t="str">
        <x:v>Laserdisc port</x:v>
      </x:c>
      <x:c r="Q876" s="9" t="str">
        <x:v>Released</x:v>
      </x:c>
      <x:c r="R876" s="9" t="str">
        <x:v>Arcade laserdisc game (Cinematronics, 1983)</x:v>
      </x:c>
      <x:c r="S876" s="9" t="str">
        <x:v>Arcade laserdisc, Amiga, DOS, Mac, CD-i, Sega CD, 3DO, Jaguar CD, Blu-ray/HD DVD, iOS, DSiWare, Wii/PS3/Switch (Trilogy), Steam</x:v>
      </x:c>
      <x:c r="T876" s="9" t="str">
        <x:v>Dan Molina (Dirk's voice), Vera Lanpher (Daphne), Michael Rye (narrator)</x:v>
      </x:c>
      <x:c r="U876" s="9" t="n">
        <x:v>1</x:v>
      </x:c>
      <x:c r="V876" s="9" t="str">
        <x:v>No</x:v>
      </x:c>
      <x:c r="W876" s="9" t="str">
        <x:v>Any DVD player (remote); Digital Leisure discs also run on PS2, Xbox and DVD-ROM PCs/Macs</x:v>
      </x:c>
      <x:c r="X876" s="9" t="str">
        <x:v>Low–Med</x:v>
      </x:c>
      <x:c r="Y876" s="9" t="str">
        <x:v>Digital Leisure owns the footage and has claimed uploads before (verify)</x:v>
      </x:c>
      <x:c r="Z876" s="9" t="str">
        <x:v>About 12 min perfect run</x:v>
      </x:c>
      <x:c r="AA876" s="9" t="str">
        <x:v>Widely billed as the first game on DVD-Video: the arcade's Don Bluth animation, played with a living-room remote.</x:v>
      </x:c>
      <x:c r="AB876" s="9" t="str">
        <x:v>None known</x:v>
      </x:c>
      <x:c r="AC876" s="9" t="str">
        <x:v>NTSC 480i MPEG-2, full screen 1.33:1, Dolby Digital; reviewers found the animation clean on normal TVs but soft on high-end projectors</x:v>
      </x:c>
      <x:c r="AD876" s="9" t="str">
        <x:v>Arcade-hard timing on a remote; five lives, and stopping the disc sends you back to the start</x:v>
      </x:c>
      <x:c r="AE876" s="9" t="str">
        <x:v>One ending (Dirk rescues Daphne)</x:v>
      </x:c>
      <x:c r="AF876" s="9" t="str">
        <x:v>Digital Leisure's first DVD-Video game, announced in January 1998 ('Dragon's Lair Goes DVD'); Space Ace and Dragon's Lair II followed as its second and third.</x:v>
      </x:c>
      <x:c r="AG876" s="9" t="str">
        <x:v>Original DVD-Video and separate DVD-ROM edition; Dragon's Lair 20th Anniversary Special Edition DVD (c. 2002-03, with extras; verify contents); later HD remaster on Blu-ray/HD DVD (2006-07, Blu-ray-only reissue, verify); Dragon's Lair Trilogy compilations</x:v>
      </x:c>
      <x:c r="AH876" s="9" t="str">
        <x:v>Yes (Steam, Dragon's Lair Trilogy on Switch/PS4/Xbox One, Blu-ray)</x:v>
      </x:c>
      <x:c r="AI876" s="9" t="str">
        <x:v>Easy</x:v>
      </x:c>
      <x:c r="AJ876" s="9" t="str">
        <x:v>Any region 1/region-free DVD player, PS2 or Xbox; also Steam and Dragon's Lair Trilogy on Switch/PS4/Xbox One</x:v>
      </x:c>
      <x:c r="AK876" s="9" t="str">
        <x:v>DVD release year: Wikipedia cites a January 1998 'Dragon's Lair Goes DVD' report; month not confirmed (verify, possibly late 1997). Controls: up/down/left/right move Dirk, Enter swings the sword. PAL/European DVD release not confirmed (verify). WebFetch budget ran out before MobyGames or GameFAQs could be checked; no critic score.</x:v>
      </x:c>
      <x:c r="AL876" s="10"/>
      <x:c r="AM876" s="10"/>
      <x:c r="AN876" s="10"/>
      <x:c r="AO876" s="9"/>
      <x:c r="AP876" s="11" t="str">
        <x:f>HYPERLINK("https://www.pricecharting.com/search-products?q=Dragon%27s+Lair+dvd&amp;type=prices","PriceCharting")</x:f>
        <x:v>PriceCharting</x:v>
      </x:c>
      <x:c r="AQ876" s="9"/>
      <x:c r="AR876" s="9"/>
      <x:c r="AS876" s="9"/>
      <x:c r="AT876" s="9"/>
      <x:c r="AU876" s="9" t="str">
        <x:v>No market</x:v>
      </x:c>
      <x:c r="AV876" s="9" t="str">
        <x:v>PriceCharting has no DVD game listings and no other price guide tracks these discs. The PC version is on Steam ($9.99).</x:v>
      </x:c>
      <x:c r="AW876" s="9"/>
      <x:c r="AX876" s="9"/>
      <x:c r="AY876" s="9"/>
      <x:c r="AZ876" s="9"/>
      <x:c r="BA876" s="11" t="str">
        <x:f>HYPERLINK("https://www.mobygames.com/search/?q=Dragon%27s+Lair","MobyGames")</x:f>
        <x:v>MobyGames</x:v>
      </x:c>
      <x:c r="BB876" s="9" t="str"/>
      <x:c r="BC876" s="9" t="str"/>
      <x:c r="BD876" s="9"/>
      <x:c r="BE876" s="11" t="str">
        <x:f>HYPERLINK("https://en.wikipedia.org/wiki/Dragon%27s_Lair","Wikipedia")</x:f>
        <x:v>Wikipedia</x:v>
      </x:c>
      <x:c r="BF876" s="11" t="str">
        <x:f>HYPERLINK("https://backloggd.com/search/games/Dragon%27s%20Lair/","Backloggd")</x:f>
        <x:v>Backloggd</x:v>
      </x:c>
      <x:c r="BG876" s="9"/>
      <x:c r="BH876" s="9"/>
      <x:c r="BI876" s="12" t="str">
        <x:v>No</x:v>
      </x:c>
      <x:c r="BJ876" s="12" t="str"/>
      <x:c r="BK876" s="12" t="str">
        <x:v>No</x:v>
      </x:c>
      <x:c r="BL876" s="12" t="str"/>
      <x:c r="BM876" s="12" t="str"/>
      <x:c r="BN876" s="12" t="str"/>
      <x:c r="BO876" s="12" t="str"/>
      <x:c r="BP876" s="12" t="str"/>
      <x:c r="BQ876" s="12" t="str"/>
    </x:row>
    <x:row r="877">
      <x:c r="A877" s="9" t="str">
        <x:v>dvd-2</x:v>
      </x:c>
      <x:c r="B877" s="9" t="str">
        <x:v>space-ace</x:v>
      </x:c>
      <x:c r="C877" s="9" t="str">
        <x:v>DVD</x:v>
      </x:c>
      <x:c r="D877" s="9" t="str">
        <x:v>Space Ace</x:v>
      </x:c>
      <x:c r="E877" s="9" t="str"/>
      <x:c r="F877" s="9" t="str">
        <x:v>Digital Leisure (DVD conversion); original by Advanced Microcomputer Systems / Don Bluth Productions</x:v>
      </x:c>
      <x:c r="G877" s="9" t="str">
        <x:v>Digital Leisure</x:v>
      </x:c>
      <x:c r="H877" s="9" t="n">
        <x:v>1999</x:v>
      </x:c>
      <x:c r="I877" s="9" t="str">
        <x:v>Yes</x:v>
      </x:c>
      <x:c r="J877" s="9" t="str">
        <x:v>No</x:v>
      </x:c>
      <x:c r="K877" s="9" t="str">
        <x:v>No</x:v>
      </x:c>
      <x:c r="L877" s="9" t="str">
        <x:v>No</x:v>
      </x:c>
      <x:c r="M877" s="9" t="str">
        <x:v>Interactive movie / reflex action</x:v>
      </x:c>
      <x:c r="N877" s="9" t="str">
        <x:v>Animated</x:v>
      </x:c>
      <x:c r="O877" s="9" t="n">
        <x:v>10</x:v>
      </x:c>
      <x:c r="P877" s="9" t="str">
        <x:v>Laserdisc port</x:v>
      </x:c>
      <x:c r="Q877" s="9" t="str">
        <x:v>Released</x:v>
      </x:c>
      <x:c r="R877" s="9" t="str">
        <x:v>Arcade laserdisc game (Cinematronics, 1983)</x:v>
      </x:c>
      <x:c r="S877" s="9" t="str">
        <x:v>Arcade laserdisc, Amiga, DOS, Mac, CD-i, Sega CD, 3DO, Jaguar CD, Blu-ray, iOS, Steam, Dragon's Lair Trilogy</x:v>
      </x:c>
      <x:c r="T877" s="9" t="str">
        <x:v>Will Finn (Dexter), Jeff Etter (Ace), Lorna Cook (Kimberly), Don Bluth (Borf), Michael Rye (narrator)</x:v>
      </x:c>
      <x:c r="U877" s="9" t="n">
        <x:v>1</x:v>
      </x:c>
      <x:c r="V877" s="9" t="str">
        <x:v>No</x:v>
      </x:c>
      <x:c r="W877" s="9" t="str">
        <x:v>Any DVD player (remote); Digital Leisure discs also run on PS2, Xbox and DVD-ROM PCs/Macs</x:v>
      </x:c>
      <x:c r="X877" s="9" t="str">
        <x:v>Low–Med</x:v>
      </x:c>
      <x:c r="Y877" s="9" t="str">
        <x:v>Digital Leisure-owned footage (verify)</x:v>
      </x:c>
      <x:c r="Z877" s="9" t="str">
        <x:v>About 10 min</x:v>
      </x:c>
      <x:c r="AA877" s="9" t="str">
        <x:v>The DVD bonus featurettes put Don Bluth and Rick Dyer on camera talking about the arcade boom and bust.</x:v>
      </x:c>
      <x:c r="AB877" s="9" t="str">
        <x:v>None known</x:v>
      </x:c>
      <x:c r="AC877" s="9" t="str">
        <x:v>NTSC 480i MPEG-2, full screen 1.33:1, Dolby Digital 2.0; reviewers rated the picture equal to the arcade, better with progressive output</x:v>
      </x:c>
      <x:c r="AD877" s="9" t="str">
        <x:v>Hard; only the arcade's top 'Space Ace' skill level is included, and slow players need the slow control setting</x:v>
      </x:c>
      <x:c r="AE877" s="9" t="str">
        <x:v>One ending; Energize choices branch scenes, though Watch mode shows only one path</x:v>
      </x:c>
      <x:c r="AF877" s="9" t="str">
        <x:v>Catalog 67481DVD, $44.95, Region 1. Its menu warned that Toshiba 2109/3109 players were incompatible. Extras: three Don Bluth featurettes, one Rick Dyer featurette, arcade-era footage.</x:v>
      </x:c>
      <x:c r="AG877" s="9" t="str">
        <x:v>DVD-Video (Region 1); later Blu-ray HD remaster (Blu-ray-only reissue, verify year); DVD-ROM edition (verify)</x:v>
      </x:c>
      <x:c r="AH877" s="9" t="str">
        <x:v>Yes (Steam, Dragon's Lair Trilogy compilations, iOS)</x:v>
      </x:c>
      <x:c r="AI877" s="9" t="str">
        <x:v>Easy</x:v>
      </x:c>
      <x:c r="AJ877" s="9" t="str">
        <x:v>Any region 1/region-free DVD player, PS2 or Xbox; also Steam and the Dragon's Lair Trilogy releases</x:v>
      </x:c>
      <x:c r="AK877" s="9" t="str">
        <x:v>Year from Home Theater Hi-Fi's February 2000 review calling it Digital Leisure's second DVD-V game; 1999 release (verify month). Menu: Play, Watch, Videos, Trailers.</x:v>
      </x:c>
      <x:c r="AL877" s="10"/>
      <x:c r="AM877" s="10"/>
      <x:c r="AN877" s="10"/>
      <x:c r="AO877" s="9"/>
      <x:c r="AP877" s="11" t="str">
        <x:f>HYPERLINK("https://www.pricecharting.com/search-products?q=Space+Ace+dvd&amp;type=prices","PriceCharting")</x:f>
        <x:v>PriceCharting</x:v>
      </x:c>
      <x:c r="AQ877" s="9"/>
      <x:c r="AR877" s="9"/>
      <x:c r="AS877" s="9"/>
      <x:c r="AT877" s="9"/>
      <x:c r="AU877" s="9" t="str">
        <x:v>No market</x:v>
      </x:c>
      <x:c r="AV877" s="9" t="str">
        <x:v>PriceCharting has no DVD game listings and no other price guide tracks these discs. The PC version is on Steam ($9.99).</x:v>
      </x:c>
      <x:c r="AW877" s="9"/>
      <x:c r="AX877" s="9"/>
      <x:c r="AY877" s="9"/>
      <x:c r="AZ877" s="9"/>
      <x:c r="BA877" s="11" t="str">
        <x:f>HYPERLINK("https://www.mobygames.com/search/?q=Space+Ace","MobyGames")</x:f>
        <x:v>MobyGames</x:v>
      </x:c>
      <x:c r="BB877" s="9" t="str">
        <x:v>40%</x:v>
      </x:c>
      <x:c r="BC877" s="9" t="str">
        <x:v>1 review tagged DVD on Wikipedia (Allgame)</x:v>
      </x:c>
      <x:c r="BD877" s="9" t="str">
        <x:f>HYPERLINK("https://en.wikipedia.org/wiki/Space_Ace","Source")</x:f>
        <x:v>Source</x:v>
      </x:c>
      <x:c r="BE877" s="11" t="str">
        <x:f>HYPERLINK("https://en.wikipedia.org/wiki/Space_Ace","Wikipedia")</x:f>
        <x:v>Wikipedia</x:v>
      </x:c>
      <x:c r="BF877" s="11" t="str">
        <x:f>HYPERLINK("https://backloggd.com/search/games/Space%20Ace/","Backloggd")</x:f>
        <x:v>Backloggd</x:v>
      </x:c>
      <x:c r="BG877" s="9"/>
      <x:c r="BH877" s="9"/>
      <x:c r="BI877" s="12" t="str">
        <x:v>No</x:v>
      </x:c>
      <x:c r="BJ877" s="12" t="str"/>
      <x:c r="BK877" s="12" t="str">
        <x:v>No</x:v>
      </x:c>
      <x:c r="BL877" s="12" t="str"/>
      <x:c r="BM877" s="12" t="str"/>
      <x:c r="BN877" s="12" t="str"/>
      <x:c r="BO877" s="12" t="str"/>
      <x:c r="BP877" s="12" t="str"/>
      <x:c r="BQ877" s="12" t="str"/>
    </x:row>
    <x:row r="878">
      <x:c r="A878" s="9" t="str">
        <x:v>dvd-3</x:v>
      </x:c>
      <x:c r="B878" s="9" t="str">
        <x:v>dragons-lair-ii-time-warp</x:v>
      </x:c>
      <x:c r="C878" s="9" t="str">
        <x:v>DVD</x:v>
      </x:c>
      <x:c r="D878" s="9" t="str">
        <x:v>Dragon's Lair II: Time Warp</x:v>
      </x:c>
      <x:c r="E878" s="9" t="str"/>
      <x:c r="F878" s="9" t="str">
        <x:v>Digital Leisure (DVD conversion); original by Sullivan Bluth Interactive</x:v>
      </x:c>
      <x:c r="G878" s="9" t="str">
        <x:v>Digital Leisure</x:v>
      </x:c>
      <x:c r="H878" s="9" t="n">
        <x:v>1999</x:v>
      </x:c>
      <x:c r="I878" s="9" t="str">
        <x:v>Yes</x:v>
      </x:c>
      <x:c r="J878" s="9" t="str">
        <x:v>No</x:v>
      </x:c>
      <x:c r="K878" s="9" t="str">
        <x:v>No</x:v>
      </x:c>
      <x:c r="L878" s="9" t="str">
        <x:v>No</x:v>
      </x:c>
      <x:c r="M878" s="9" t="str">
        <x:v>Interactive movie / reflex action</x:v>
      </x:c>
      <x:c r="N878" s="9" t="str">
        <x:v>Animated</x:v>
      </x:c>
      <x:c r="O878" s="9" t="n">
        <x:v>10</x:v>
      </x:c>
      <x:c r="P878" s="9" t="str">
        <x:v>Laserdisc port</x:v>
      </x:c>
      <x:c r="Q878" s="9" t="str">
        <x:v>Released</x:v>
      </x:c>
      <x:c r="R878" s="9" t="str">
        <x:v>Arcade laserdisc game (Leland, 1991)</x:v>
      </x:c>
      <x:c r="S878" s="9" t="str">
        <x:v>Arcade laserdisc, Amiga, DOS, Mac, CD-i, Blu-ray, iOS, Steam, Dragon's Lair Trilogy</x:v>
      </x:c>
      <x:c r="T878" s="9" t="str">
        <x:v>Michael Rye (narrator); Dan Molina (Dirk, verify)</x:v>
      </x:c>
      <x:c r="U878" s="9" t="n">
        <x:v>1</x:v>
      </x:c>
      <x:c r="V878" s="9" t="str">
        <x:v>No</x:v>
      </x:c>
      <x:c r="W878" s="9" t="str">
        <x:v>Any DVD player (remote); Digital Leisure discs also run on PS2, Xbox and DVD-ROM PCs/Macs</x:v>
      </x:c>
      <x:c r="X878" s="9" t="str">
        <x:v>Low–Med</x:v>
      </x:c>
      <x:c r="Y878" s="9" t="str">
        <x:v>Digital Leisure footage; Beethoven-based music cues are public domain</x:v>
      </x:c>
      <x:c r="Z878" s="9" t="str">
        <x:v>About 15–20 min</x:v>
      </x:c>
      <x:c r="AA878" s="9" t="str">
        <x:v>The extras include a work-in-progress reel of every death scene, footage Watch mode never shows.</x:v>
      </x:c>
      <x:c r="AB878" s="9" t="str">
        <x:v>None known</x:v>
      </x:c>
      <x:c r="AC878" s="9" t="str">
        <x:v>NTSC 480i MPEG-2, full frame 1.33:1, Dolby Digital 2.0, single-sided single-layer; picture matches the arcade, sound effects lag the visuals</x:v>
      </x:c>
      <x:c r="AD878" s="9" t="str">
        <x:v>The reviewer found it shorter and easier than the other two Bluth discs; reversed repeat scenes pad it out</x:v>
      </x:c>
      <x:c r="AE878" s="9" t="str">
        <x:v>One ending</x:v>
      </x:c>
      <x:c r="AF878" s="9" t="str">
        <x:v>Catalog 67476DVD, $44.95, Region 1; Digital Leisure's third DVD-Video game. Its menu listed Samsung and 'Awai' players as incompatible; Sony players responded fastest.</x:v>
      </x:c>
      <x:c r="AG878" s="9" t="str">
        <x:v>DVD-Video (Region 1); later Blu-ray HD remaster (Blu-ray-only reissue, verify year)</x:v>
      </x:c>
      <x:c r="AH878" s="9" t="str">
        <x:v>Yes (Steam, Dragon's Lair Trilogy compilations, iOS)</x:v>
      </x:c>
      <x:c r="AI878" s="9" t="str">
        <x:v>Easy</x:v>
      </x:c>
      <x:c r="AJ878" s="9" t="str">
        <x:v>Any region 1/region-free DVD player, PS2 or Xbox; also Steam and the Dragon's Lair Trilogy releases</x:v>
      </x:c>
      <x:c r="AK878" s="9" t="str">
        <x:v>Year from Home Theater Hi-Fi's February 2000 review and an Amazon listing from 1999 (verify month). No Don Bluth interviews on this disc.</x:v>
      </x:c>
      <x:c r="AL878" s="10"/>
      <x:c r="AM878" s="10"/>
      <x:c r="AN878" s="10"/>
      <x:c r="AO878" s="9"/>
      <x:c r="AP878" s="11" t="str">
        <x:f>HYPERLINK("https://www.pricecharting.com/search-products?q=Dragon%27s+Lair+II%3A+Time+Warp+dvd&amp;type=prices","PriceCharting")</x:f>
        <x:v>PriceCharting</x:v>
      </x:c>
      <x:c r="AQ878" s="9"/>
      <x:c r="AR878" s="9"/>
      <x:c r="AS878" s="9"/>
      <x:c r="AT878" s="9"/>
      <x:c r="AU878" s="9" t="str">
        <x:v>No market</x:v>
      </x:c>
      <x:c r="AV878" s="9" t="str">
        <x:v>PriceCharting has no DVD game listings and no other price guide tracks these discs. The PC version is on Steam ($9.99).</x:v>
      </x:c>
      <x:c r="AW878" s="9"/>
      <x:c r="AX878" s="9"/>
      <x:c r="AY878" s="9"/>
      <x:c r="AZ878" s="9"/>
      <x:c r="BA878" s="11" t="str">
        <x:f>HYPERLINK("https://www.mobygames.com/search/?q=Dragon%27s+Lair+II%3A+Time+Warp","MobyGames")</x:f>
        <x:v>MobyGames</x:v>
      </x:c>
      <x:c r="BB878" s="9" t="str">
        <x:v>30%</x:v>
      </x:c>
      <x:c r="BC878" s="9" t="str">
        <x:v>1 review tagged DVD on Wikipedia (Allgame)</x:v>
      </x:c>
      <x:c r="BD878" s="9" t="str">
        <x:f>HYPERLINK("https://en.wikipedia.org/wiki/Dragon%27s_Lair_II%3A_Time_Warp","Source")</x:f>
        <x:v>Source</x:v>
      </x:c>
      <x:c r="BE878" s="11" t="str">
        <x:f>HYPERLINK("https://en.wikipedia.org/wiki/Dragon%27s_Lair_II:_Time_Warp","Wikipedia")</x:f>
        <x:v>Wikipedia</x:v>
      </x:c>
      <x:c r="BF878" s="11" t="str">
        <x:f>HYPERLINK("https://backloggd.com/search/games/Dragon%27s%20Lair%20II%3A%20Time%20Warp/","Backloggd")</x:f>
        <x:v>Backloggd</x:v>
      </x:c>
      <x:c r="BG878" s="9"/>
      <x:c r="BH878" s="9"/>
      <x:c r="BI878" s="12" t="str">
        <x:v>No</x:v>
      </x:c>
      <x:c r="BJ878" s="12" t="str"/>
      <x:c r="BK878" s="12" t="str">
        <x:v>No</x:v>
      </x:c>
      <x:c r="BL878" s="12" t="str"/>
      <x:c r="BM878" s="12" t="str"/>
      <x:c r="BN878" s="12" t="str"/>
      <x:c r="BO878" s="12" t="str"/>
      <x:c r="BP878" s="12" t="str"/>
      <x:c r="BQ878" s="12" t="str"/>
    </x:row>
    <x:row r="879">
      <x:c r="A879" s="9" t="str">
        <x:v>dvd-4</x:v>
      </x:c>
      <x:c r="B879" s="9" t="str">
        <x:v>mad-dog-mccree</x:v>
      </x:c>
      <x:c r="C879" s="9" t="str">
        <x:v>DVD</x:v>
      </x:c>
      <x:c r="D879" s="9" t="str">
        <x:v>Mad Dog McCree</x:v>
      </x:c>
      <x:c r="E879" s="9" t="str"/>
      <x:c r="F879" s="9" t="str">
        <x:v>American Laser Games (original); DVD remaster by Digital Leisure</x:v>
      </x:c>
      <x:c r="G879" s="9" t="str">
        <x:v>Digital Leisure</x:v>
      </x:c>
      <x:c r="H879" s="9" t="n">
        <x:v>2001</x:v>
      </x:c>
      <x:c r="I879" s="9" t="str">
        <x:v>Yes</x:v>
      </x:c>
      <x:c r="J879" s="9" t="str">
        <x:v>No</x:v>
      </x:c>
      <x:c r="K879" s="9" t="str">
        <x:v>No</x:v>
      </x:c>
      <x:c r="L879" s="9" t="str">
        <x:v>No</x:v>
      </x:c>
      <x:c r="M879" s="9" t="str">
        <x:v>Western shooter</x:v>
      </x:c>
      <x:c r="N879" s="9" t="str">
        <x:v>Live-action</x:v>
      </x:c>
      <x:c r="O879" s="9" t="n">
        <x:v>10</x:v>
      </x:c>
      <x:c r="P879" s="9" t="str">
        <x:v>American Laser Games</x:v>
      </x:c>
      <x:c r="Q879" s="9" t="str">
        <x:v>Released</x:v>
      </x:c>
      <x:c r="R879" s="9" t="str">
        <x:v>Arcade laserdisc game (American Laser Games, 1990)</x:v>
      </x:c>
      <x:c r="S879" s="9" t="str">
        <x:v>Arcade laserdisc, DOS, Mac, Sega CD, 3DO, CD-i, Wii (Gunslinger Pack), 3DS, iOS, Windows</x:v>
      </x:c>
      <x:c r="T879" s="9" t="str">
        <x:v>Russ (Rusty) Dillen (Mad Dog), Lori Dillen (barfly), Ben Zeller (prospector), Carol Eason (undertaker)</x:v>
      </x:c>
      <x:c r="U879" s="9" t="n">
        <x:v>1</x:v>
      </x:c>
      <x:c r="V879" s="9" t="str">
        <x:v>No</x:v>
      </x:c>
      <x:c r="W879" s="9" t="str">
        <x:v>Any DVD player (remote); Digital Leisure discs also run on PS2, Xbox and DVD-ROM PCs/Macs; no light gun: shots are aimed with the remote's direction keys and fired with Enter</x:v>
      </x:c>
      <x:c r="X879" s="9" t="str">
        <x:v>Low</x:v>
      </x:c>
      <x:c r="Y879" s="9" t="str"/>
      <x:c r="Z879" s="9" t="str">
        <x:v>15–25 min</x:v>
      </x:c>
      <x:c r="AA879" s="9" t="str">
        <x:v>A light-gun western played with a DVD remote, which is every bit as clumsy as it sounds.</x:v>
      </x:c>
      <x:c r="AB879" s="9" t="str">
        <x:v>None known</x:v>
      </x:c>
      <x:c r="AC879" s="9" t="str">
        <x:v>NTSC 480i MPEG-2, full screen 1.33:1; Digital Leisure remaster of the original footage with updated video and sound (verify bitrate)</x:v>
      </x:c>
      <x:c r="AD879" s="9" t="str">
        <x:v>Awkward with a remote: targets must be picked fast with the direction keys, and the player adds a slight delay</x:v>
      </x:c>
      <x:c r="AE879" s="9" t="str">
        <x:v>One ending (rescue the sheriff and his daughter, beat Mad Dog)</x:v>
      </x:c>
      <x:c r="AF879" s="9" t="str">
        <x:v>Released 13 November 2001, it was the first of Digital Leisure's American Laser Games reissues, with updated video and sound playable on a standard DVD remote.</x:v>
      </x:c>
      <x:c r="AG879" s="9" t="str">
        <x:v>DVD-Video (NTSC, packaging also sold as 'Xbox compatible'/'PS2 compatible'); Windows CD-ROM reissue</x:v>
      </x:c>
      <x:c r="AH879" s="9" t="str">
        <x:v>No verified current digital sale; original discs and legacy Digital Leisure editions (platforms vary).</x:v>
      </x:c>
      <x:c r="AI879" s="9" t="str">
        <x:v>Easy</x:v>
      </x:c>
      <x:c r="AJ879" s="9" t="str">
        <x:v>Any region 1/region-free DVD player, PS2 or Xbox; original DVD required. Current official digital sale unverified.</x:v>
      </x:c>
      <x:c r="AK879" s="9" t="str">
        <x:v>GamesFirst (Nov 2001) gave the DVD 3/5 and recommended a PS2 or Xbox controller over a DVD remote. Mac compatibility announced January 2002.</x:v>
      </x:c>
      <x:c r="AL879" s="10"/>
      <x:c r="AM879" s="10"/>
      <x:c r="AN879" s="10"/>
      <x:c r="AO879" s="9"/>
      <x:c r="AP879" s="11" t="str">
        <x:f>HYPERLINK("https://www.pricecharting.com/search-products?q=Mad+Dog+McCree+dvd&amp;type=prices","PriceCharting")</x:f>
        <x:v>PriceCharting</x:v>
      </x:c>
      <x:c r="AQ879" s="9"/>
      <x:c r="AR879" s="9"/>
      <x:c r="AS879" s="9"/>
      <x:c r="AT879" s="9"/>
      <x:c r="AU879" s="9" t="str">
        <x:v>No market</x:v>
      </x:c>
      <x:c r="AV879" s="9" t="str">
        <x:v>PriceCharting has no DVD game listings and no other price guide tracks these discs.</x:v>
      </x:c>
      <x:c r="AW879" s="9"/>
      <x:c r="AX879" s="9"/>
      <x:c r="AY879" s="9"/>
      <x:c r="AZ879" s="9"/>
      <x:c r="BA879" s="11" t="str">
        <x:f>HYPERLINK("https://www.mobygames.com/search/?q=Mad+Dog+McCree","MobyGames")</x:f>
        <x:v>MobyGames</x:v>
      </x:c>
      <x:c r="BB879" s="9" t="str">
        <x:v>34%</x:v>
      </x:c>
      <x:c r="BC879" s="9" t="str">
        <x:v>GameRankings DVD aggregate, cited on Wikipedia (review count not shown, verify)</x:v>
      </x:c>
      <x:c r="BD879" s="9" t="str">
        <x:f>HYPERLINK("https://en.wikipedia.org/wiki/Mad_Dog_McCree","Source")</x:f>
        <x:v>Source</x:v>
      </x:c>
      <x:c r="BE879" s="11" t="str">
        <x:f>HYPERLINK("https://en.wikipedia.org/wiki/Mad_Dog_McCree","Wikipedia")</x:f>
        <x:v>Wikipedia</x:v>
      </x:c>
      <x:c r="BF879" s="11" t="str">
        <x:f>HYPERLINK("https://backloggd.com/search/games/Mad%20Dog%20McCree/","Backloggd")</x:f>
        <x:v>Backloggd</x:v>
      </x:c>
      <x:c r="BG879" s="9"/>
      <x:c r="BH879" s="9"/>
      <x:c r="BI879" s="12" t="str">
        <x:v>No</x:v>
      </x:c>
      <x:c r="BJ879" s="12" t="str"/>
      <x:c r="BK879" s="12" t="str">
        <x:v>No</x:v>
      </x:c>
      <x:c r="BL879" s="12" t="str"/>
      <x:c r="BM879" s="12" t="str"/>
      <x:c r="BN879" s="12" t="str"/>
      <x:c r="BO879" s="12" t="str"/>
      <x:c r="BP879" s="12" t="str"/>
      <x:c r="BQ879" s="12" t="str"/>
    </x:row>
    <x:row r="880">
      <x:c r="A880" s="9" t="str">
        <x:v>dvd-5</x:v>
      </x:c>
      <x:c r="B880" s="9" t="str">
        <x:v>mad-dog-ii-the-lost-gold</x:v>
      </x:c>
      <x:c r="C880" s="9" t="str">
        <x:v>DVD</x:v>
      </x:c>
      <x:c r="D880" s="9" t="str">
        <x:v>Mad Dog II: The Lost Gold</x:v>
      </x:c>
      <x:c r="E880" s="9" t="str"/>
      <x:c r="F880" s="9" t="str">
        <x:v>American Laser Games (original); DVD remaster by Digital Leisure</x:v>
      </x:c>
      <x:c r="G880" s="9" t="str">
        <x:v>Digital Leisure</x:v>
      </x:c>
      <x:c r="H880" s="9" t="n">
        <x:v>2003</x:v>
      </x:c>
      <x:c r="I880" s="9" t="str">
        <x:v>Yes</x:v>
      </x:c>
      <x:c r="J880" s="9" t="str">
        <x:v>No</x:v>
      </x:c>
      <x:c r="K880" s="9" t="str">
        <x:v>No</x:v>
      </x:c>
      <x:c r="L880" s="9" t="str">
        <x:v>No</x:v>
      </x:c>
      <x:c r="M880" s="9" t="str">
        <x:v>Western shooter</x:v>
      </x:c>
      <x:c r="N880" s="9" t="str">
        <x:v>Live-action</x:v>
      </x:c>
      <x:c r="O880" s="9" t="n">
        <x:v>10</x:v>
      </x:c>
      <x:c r="P880" s="9" t="str">
        <x:v>American Laser Games</x:v>
      </x:c>
      <x:c r="Q880" s="9" t="str">
        <x:v>Released</x:v>
      </x:c>
      <x:c r="R880" s="9" t="str">
        <x:v>Arcade laserdisc game (American Laser Games, 1992)</x:v>
      </x:c>
      <x:c r="S880" s="9" t="str">
        <x:v>Arcade laserdisc, DOS, Sega CD, 3DO, CD-i, Wii (Gunslinger Pack), Windows</x:v>
      </x:c>
      <x:c r="T880" s="9" t="str">
        <x:v>Ben Zeller (stagecoach driver; he played the prospector in the first game); others uncredited</x:v>
      </x:c>
      <x:c r="U880" s="9" t="n">
        <x:v>1</x:v>
      </x:c>
      <x:c r="V880" s="9" t="str">
        <x:v>No</x:v>
      </x:c>
      <x:c r="W880" s="9" t="str">
        <x:v>Any DVD player (remote); Digital Leisure discs also run on PS2, Xbox and DVD-ROM PCs/Macs; no light gun: shots are aimed with the remote's direction keys and fired with Enter</x:v>
      </x:c>
      <x:c r="X880" s="9" t="str">
        <x:v>Low</x:v>
      </x:c>
      <x:c r="Y880" s="9" t="str"/>
      <x:c r="Z880" s="9" t="str">
        <x:v>20–30 min</x:v>
      </x:c>
      <x:c r="AA880" s="9" t="str">
        <x:v>The sequel on DVD, minus the arcade's 'treasure chest full of sand' joke ending.</x:v>
      </x:c>
      <x:c r="AB880" s="9" t="str">
        <x:v>None known</x:v>
      </x:c>
      <x:c r="AC880" s="9" t="str">
        <x:v>NTSC 480i MPEG-2, full screen 1.33:1; Digital Leisure remaster of the original footage with updated video and sound (verify bitrate)</x:v>
      </x:c>
      <x:c r="AD880" s="9" t="str">
        <x:v>Hard; three lives and quick-draw duels on remote controls</x:v>
      </x:c>
      <x:c r="AE880" s="9" t="str">
        <x:v>Three guide routes converge on the train and hideout; one ending</x:v>
      </x:c>
      <x:c r="AF880" s="9" t="str">
        <x:v>Released 12 June 2003. The sand-in-the-chest scene, shown in the arcade when you continued, does not appear on the DVD (or CD-i) version.</x:v>
      </x:c>
      <x:c r="AG880" s="9" t="str">
        <x:v>DVD-Video (NTSC)</x:v>
      </x:c>
      <x:c r="AH880" s="9" t="str">
        <x:v>No verified current digital sale; original discs and legacy Digital Leisure editions (platforms vary).</x:v>
      </x:c>
      <x:c r="AI880" s="9" t="str">
        <x:v>Easy</x:v>
      </x:c>
      <x:c r="AJ880" s="9" t="str">
        <x:v>Any region 1/region-free DVD player, PS2 or Xbox; original DVD required. Current official digital sale unverified.</x:v>
      </x:c>
      <x:c r="AK880" s="9" t="str">
        <x:v>Release date from Wikipedia's infobox. No DVD review score found.</x:v>
      </x:c>
      <x:c r="AL880" s="10"/>
      <x:c r="AM880" s="10"/>
      <x:c r="AN880" s="10"/>
      <x:c r="AO880" s="9"/>
      <x:c r="AP880" s="11" t="str">
        <x:f>HYPERLINK("https://www.pricecharting.com/search-products?q=Mad+Dog+II%3A+The+Lost+Gold+dvd&amp;type=prices","PriceCharting")</x:f>
        <x:v>PriceCharting</x:v>
      </x:c>
      <x:c r="AQ880" s="9"/>
      <x:c r="AR880" s="9"/>
      <x:c r="AS880" s="9"/>
      <x:c r="AT880" s="9"/>
      <x:c r="AU880" s="9" t="str">
        <x:v>No market</x:v>
      </x:c>
      <x:c r="AV880" s="9" t="str">
        <x:v>PriceCharting has no DVD game listings and no other price guide tracks these discs.</x:v>
      </x:c>
      <x:c r="AW880" s="9"/>
      <x:c r="AX880" s="9"/>
      <x:c r="AY880" s="9"/>
      <x:c r="AZ880" s="9"/>
      <x:c r="BA880" s="11" t="str">
        <x:f>HYPERLINK("https://www.mobygames.com/search/?q=Mad+Dog+II%3A+The+Lost+Gold","MobyGames")</x:f>
        <x:v>MobyGames</x:v>
      </x:c>
      <x:c r="BB880" s="9" t="str"/>
      <x:c r="BC880" s="9" t="str"/>
      <x:c r="BD880" s="9"/>
      <x:c r="BE880" s="11" t="str">
        <x:f>HYPERLINK("https://en.wikipedia.org/wiki/Mad_Dog_II:_The_Lost_Gold","Wikipedia")</x:f>
        <x:v>Wikipedia</x:v>
      </x:c>
      <x:c r="BF880" s="11" t="str">
        <x:f>HYPERLINK("https://backloggd.com/search/games/Mad%20Dog%20II%3A%20The%20Lost%20Gold/","Backloggd")</x:f>
        <x:v>Backloggd</x:v>
      </x:c>
      <x:c r="BG880" s="9"/>
      <x:c r="BH880" s="9"/>
      <x:c r="BI880" s="12" t="str">
        <x:v>No</x:v>
      </x:c>
      <x:c r="BJ880" s="12" t="str"/>
      <x:c r="BK880" s="12" t="str">
        <x:v>No</x:v>
      </x:c>
      <x:c r="BL880" s="12" t="str"/>
      <x:c r="BM880" s="12" t="str"/>
      <x:c r="BN880" s="12" t="str"/>
      <x:c r="BO880" s="12" t="str"/>
      <x:c r="BP880" s="12" t="str"/>
      <x:c r="BQ880" s="12" t="str"/>
    </x:row>
    <x:row r="881">
      <x:c r="A881" s="9" t="str">
        <x:v>dvd-6</x:v>
      </x:c>
      <x:c r="B881" s="9" t="str">
        <x:v>who-shot-johnny-rock</x:v>
      </x:c>
      <x:c r="C881" s="9" t="str">
        <x:v>DVD</x:v>
      </x:c>
      <x:c r="D881" s="9" t="str">
        <x:v>Who Shot Johnny Rock?</x:v>
      </x:c>
      <x:c r="E881" s="9" t="str"/>
      <x:c r="F881" s="9" t="str">
        <x:v>American Laser Games (original); DVD remaster by Digital Leisure</x:v>
      </x:c>
      <x:c r="G881" s="9" t="str">
        <x:v>Digital Leisure</x:v>
      </x:c>
      <x:c r="H881" s="9" t="n">
        <x:v>2001</x:v>
      </x:c>
      <x:c r="I881" s="9" t="str">
        <x:v>Yes</x:v>
      </x:c>
      <x:c r="J881" s="9" t="str">
        <x:v>No</x:v>
      </x:c>
      <x:c r="K881" s="9" t="str">
        <x:v>No</x:v>
      </x:c>
      <x:c r="L881" s="9" t="str">
        <x:v>No</x:v>
      </x:c>
      <x:c r="M881" s="9" t="str">
        <x:v>1930s gangster shooter</x:v>
      </x:c>
      <x:c r="N881" s="9" t="str">
        <x:v>Live-action</x:v>
      </x:c>
      <x:c r="O881" s="9" t="n">
        <x:v>10</x:v>
      </x:c>
      <x:c r="P881" s="9" t="str">
        <x:v>American Laser Games</x:v>
      </x:c>
      <x:c r="Q881" s="9" t="str">
        <x:v>Released</x:v>
      </x:c>
      <x:c r="R881" s="9" t="str">
        <x:v>Arcade laserdisc game (American Laser Games, 1991)</x:v>
      </x:c>
      <x:c r="S881" s="9" t="str">
        <x:v>Arcade laserdisc, DOS, Sega CD, 3DO, CD-i, Windows</x:v>
      </x:c>
      <x:c r="T881" s="9" t="str">
        <x:v>Unknown — verify (uncredited local actors)</x:v>
      </x:c>
      <x:c r="U881" s="9" t="n">
        <x:v>1</x:v>
      </x:c>
      <x:c r="V881" s="9" t="str">
        <x:v>No</x:v>
      </x:c>
      <x:c r="W881" s="9" t="str">
        <x:v>Any DVD player (remote); Digital Leisure discs also run on PS2, Xbox and DVD-ROM PCs/Macs; no light gun: shots are aimed with the remote's direction keys and fired with Enter</x:v>
      </x:c>
      <x:c r="X881" s="9" t="str">
        <x:v>Low</x:v>
      </x:c>
      <x:c r="Y881" s="9" t="str"/>
      <x:c r="Z881" s="9" t="str">
        <x:v>15–25 min</x:v>
      </x:c>
      <x:c r="AA881" s="9" t="str">
        <x:v>A Chicago gangster whodunit where the remote is your tommy gun and the killer changes every game.</x:v>
      </x:c>
      <x:c r="AB881" s="9" t="str">
        <x:v>None known</x:v>
      </x:c>
      <x:c r="AC881" s="9" t="str">
        <x:v>NTSC 480i MPEG-2, full screen 1.33:1; Digital Leisure remaster of the original footage with updated video and sound (verify bitrate)</x:v>
      </x:c>
      <x:c r="AD881" s="9" t="str">
        <x:v>Moderate; money is your life bar and shooting bystanders costs funeral fees</x:v>
      </x:c>
      <x:c r="AE881" s="9" t="str">
        <x:v>Killer is picked at random from four suspects each play; one win ending</x:v>
      </x:c>
      <x:c r="AF881" s="9" t="str">
        <x:v>Released 28 November 2001; Wikipedia says the Digital Leisure reissue added updated video and sound plus several bonus options.</x:v>
      </x:c>
      <x:c r="AG881" s="9" t="str">
        <x:v>DVD-Video (NTSC); Windows CD-ROM reissue</x:v>
      </x:c>
      <x:c r="AH881" s="9" t="str">
        <x:v>No verified current digital sale; original discs and legacy Digital Leisure editions (platforms vary).</x:v>
      </x:c>
      <x:c r="AI881" s="9" t="str">
        <x:v>Easy</x:v>
      </x:c>
      <x:c r="AJ881" s="9" t="str">
        <x:v>Any region 1/region-free DVD player, PS2 or Xbox; original DVD required. Current official digital sale unverified.</x:v>
      </x:c>
      <x:c r="AK881" s="9" t="str">
        <x:v>Mac compatibility announced January 2002. Bonus options not itemised (verify).</x:v>
      </x:c>
      <x:c r="AL881" s="10"/>
      <x:c r="AM881" s="10"/>
      <x:c r="AN881" s="10"/>
      <x:c r="AO881" s="9"/>
      <x:c r="AP881" s="11" t="str">
        <x:f>HYPERLINK("https://www.pricecharting.com/search-products?q=Who+Shot+Johnny+Rock%3F+dvd&amp;type=prices","PriceCharting")</x:f>
        <x:v>PriceCharting</x:v>
      </x:c>
      <x:c r="AQ881" s="9"/>
      <x:c r="AR881" s="9"/>
      <x:c r="AS881" s="9"/>
      <x:c r="AT881" s="9"/>
      <x:c r="AU881" s="9" t="str">
        <x:v>No market</x:v>
      </x:c>
      <x:c r="AV881" s="9" t="str">
        <x:v>PriceCharting has no DVD game listings and no other price guide tracks these discs.</x:v>
      </x:c>
      <x:c r="AW881" s="9"/>
      <x:c r="AX881" s="9"/>
      <x:c r="AY881" s="9"/>
      <x:c r="AZ881" s="9"/>
      <x:c r="BA881" s="11" t="str">
        <x:f>HYPERLINK("https://www.mobygames.com/search/?q=Who+Shot+Johnny+Rock%3F","MobyGames")</x:f>
        <x:v>MobyGames</x:v>
      </x:c>
      <x:c r="BB881" s="9" t="str">
        <x:v>50%</x:v>
      </x:c>
      <x:c r="BC881" s="9" t="str">
        <x:v>AllGame 2.5/5 for the DVD Video version (1 review), cited on Wikipedia</x:v>
      </x:c>
      <x:c r="BD881" s="9" t="str">
        <x:f>HYPERLINK("https://en.wikipedia.org/wiki/Who_Shot_Johnny_Rock%3F","Source")</x:f>
        <x:v>Source</x:v>
      </x:c>
      <x:c r="BE881" s="11" t="str">
        <x:f>HYPERLINK("https://en.wikipedia.org/wiki/Who_Shot_Johnny_Rock%3F","Wikipedia")</x:f>
        <x:v>Wikipedia</x:v>
      </x:c>
      <x:c r="BF881" s="11" t="str">
        <x:f>HYPERLINK("https://backloggd.com/search/games/Who%20Shot%20Johnny%20Rock%3F/","Backloggd")</x:f>
        <x:v>Backloggd</x:v>
      </x:c>
      <x:c r="BG881" s="9"/>
      <x:c r="BH881" s="9"/>
      <x:c r="BI881" s="12" t="str">
        <x:v>No</x:v>
      </x:c>
      <x:c r="BJ881" s="12" t="str"/>
      <x:c r="BK881" s="12" t="str">
        <x:v>No</x:v>
      </x:c>
      <x:c r="BL881" s="12" t="str"/>
      <x:c r="BM881" s="12" t="str"/>
      <x:c r="BN881" s="12" t="str"/>
      <x:c r="BO881" s="12" t="str"/>
      <x:c r="BP881" s="12" t="str"/>
      <x:c r="BQ881" s="12" t="str"/>
    </x:row>
    <x:row r="882">
      <x:c r="A882" s="9" t="str">
        <x:v>dvd-7</x:v>
      </x:c>
      <x:c r="B882" s="9" t="str">
        <x:v>crime-patrol</x:v>
      </x:c>
      <x:c r="C882" s="9" t="str">
        <x:v>DVD</x:v>
      </x:c>
      <x:c r="D882" s="9" t="str">
        <x:v>Crime Patrol</x:v>
      </x:c>
      <x:c r="E882" s="9" t="str"/>
      <x:c r="F882" s="9" t="str">
        <x:v>American Laser Games (original); DVD remaster by Digital Leisure</x:v>
      </x:c>
      <x:c r="G882" s="9" t="str">
        <x:v>Digital Leisure</x:v>
      </x:c>
      <x:c r="H882" s="9" t="n">
        <x:v>2001</x:v>
      </x:c>
      <x:c r="I882" s="9" t="str">
        <x:v>Yes</x:v>
      </x:c>
      <x:c r="J882" s="9" t="str">
        <x:v>No</x:v>
      </x:c>
      <x:c r="K882" s="9" t="str">
        <x:v>No</x:v>
      </x:c>
      <x:c r="L882" s="9" t="str">
        <x:v>No</x:v>
      </x:c>
      <x:c r="M882" s="9" t="str">
        <x:v>Police shooter</x:v>
      </x:c>
      <x:c r="N882" s="9" t="str">
        <x:v>Live-action</x:v>
      </x:c>
      <x:c r="O882" s="9" t="n">
        <x:v>10</x:v>
      </x:c>
      <x:c r="P882" s="9" t="str">
        <x:v>American Laser Games</x:v>
      </x:c>
      <x:c r="Q882" s="9" t="str">
        <x:v>Released</x:v>
      </x:c>
      <x:c r="R882" s="9" t="str">
        <x:v>Arcade laserdisc game (American Laser Games, 1993)</x:v>
      </x:c>
      <x:c r="S882" s="9" t="str">
        <x:v>Arcade laserdisc, DOS, Sega CD, 3DO, CD-i, Windows</x:v>
      </x:c>
      <x:c r="T882" s="9" t="str">
        <x:v>Uncredited Albuquerque-area actors (verify)</x:v>
      </x:c>
      <x:c r="U882" s="9" t="n">
        <x:v>1</x:v>
      </x:c>
      <x:c r="V882" s="9" t="str">
        <x:v>No</x:v>
      </x:c>
      <x:c r="W882" s="9" t="str">
        <x:v>Any DVD player (remote); Digital Leisure discs also run on PS2, Xbox and DVD-ROM PCs/Macs; no light gun: shots are aimed with the remote's direction keys and fired with Enter</x:v>
      </x:c>
      <x:c r="X882" s="9" t="str">
        <x:v>Low</x:v>
      </x:c>
      <x:c r="Y882" s="9" t="str"/>
      <x:c r="Z882" s="9" t="str">
        <x:v>20–30 min</x:v>
      </x:c>
      <x:c r="AA882" s="9" t="str">
        <x:v>Rookie-to-SWAT police shooting gallery, now driven from the couch with a DVD remote.</x:v>
      </x:c>
      <x:c r="AB882" s="9" t="str">
        <x:v>None known</x:v>
      </x:c>
      <x:c r="AC882" s="9" t="str">
        <x:v>NTSC 480i MPEG-2, full screen 1.33:1; Digital Leisure remaster of the original footage with updated video and sound (verify bitrate)</x:v>
      </x:c>
      <x:c r="AD882" s="9" t="str">
        <x:v>Moderate; three lives, practice range included</x:v>
      </x:c>
      <x:c r="AE882" s="9" t="str">
        <x:v>One ending after the plutonium-theft final mission</x:v>
      </x:c>
      <x:c r="AF882" s="9" t="str">
        <x:v>Released 17 November 2001 alongside Digital Leisure's other early ALG reissues.</x:v>
      </x:c>
      <x:c r="AG882" s="9" t="str">
        <x:v>DVD-Video (NTSC); Windows CD-ROM reissue</x:v>
      </x:c>
      <x:c r="AH882" s="9" t="str">
        <x:v>No verified current digital sale; original discs and legacy Digital Leisure editions (platforms vary).</x:v>
      </x:c>
      <x:c r="AI882" s="9" t="str">
        <x:v>Easy</x:v>
      </x:c>
      <x:c r="AJ882" s="9" t="str">
        <x:v>Any region 1/region-free DVD player, PS2 or Xbox; original DVD required. Current official digital sale unverified.</x:v>
      </x:c>
      <x:c r="AK882" s="9" t="str">
        <x:v>Release date from Wikipedia's infobox. No DVD review score found.</x:v>
      </x:c>
      <x:c r="AL882" s="10"/>
      <x:c r="AM882" s="10"/>
      <x:c r="AN882" s="10"/>
      <x:c r="AO882" s="9"/>
      <x:c r="AP882" s="11" t="str">
        <x:f>HYPERLINK("https://www.pricecharting.com/search-products?q=Crime+Patrol+dvd&amp;type=prices","PriceCharting")</x:f>
        <x:v>PriceCharting</x:v>
      </x:c>
      <x:c r="AQ882" s="9"/>
      <x:c r="AR882" s="9"/>
      <x:c r="AS882" s="9"/>
      <x:c r="AT882" s="9"/>
      <x:c r="AU882" s="9" t="str">
        <x:v>No market</x:v>
      </x:c>
      <x:c r="AV882" s="9" t="str">
        <x:v>PriceCharting has no DVD game listings and no other price guide tracks these discs.</x:v>
      </x:c>
      <x:c r="AW882" s="9"/>
      <x:c r="AX882" s="9"/>
      <x:c r="AY882" s="9"/>
      <x:c r="AZ882" s="9"/>
      <x:c r="BA882" s="11" t="str">
        <x:f>HYPERLINK("https://www.mobygames.com/search/?q=Crime+Patrol","MobyGames")</x:f>
        <x:v>MobyGames</x:v>
      </x:c>
      <x:c r="BB882" s="9" t="str"/>
      <x:c r="BC882" s="9" t="str"/>
      <x:c r="BD882" s="9"/>
      <x:c r="BE882" s="11" t="str">
        <x:f>HYPERLINK("https://en.wikipedia.org/wiki/Crime_Patrol_(video_game)","Wikipedia")</x:f>
        <x:v>Wikipedia</x:v>
      </x:c>
      <x:c r="BF882" s="11" t="str">
        <x:f>HYPERLINK("https://backloggd.com/search/games/Crime%20Patrol/","Backloggd")</x:f>
        <x:v>Backloggd</x:v>
      </x:c>
      <x:c r="BG882" s="9"/>
      <x:c r="BH882" s="9"/>
      <x:c r="BI882" s="12" t="str">
        <x:v>No</x:v>
      </x:c>
      <x:c r="BJ882" s="12" t="str"/>
      <x:c r="BK882" s="12" t="str">
        <x:v>No</x:v>
      </x:c>
      <x:c r="BL882" s="12" t="str"/>
      <x:c r="BM882" s="12" t="str"/>
      <x:c r="BN882" s="12" t="str"/>
      <x:c r="BO882" s="12" t="str"/>
      <x:c r="BP882" s="12" t="str"/>
      <x:c r="BQ882" s="12" t="str"/>
    </x:row>
    <x:row r="883">
      <x:c r="A883" s="9" t="str">
        <x:v>dvd-8</x:v>
      </x:c>
      <x:c r="B883" s="9" t="str">
        <x:v>crime-patrol-2-drug-wars</x:v>
      </x:c>
      <x:c r="C883" s="9" t="str">
        <x:v>DVD</x:v>
      </x:c>
      <x:c r="D883" s="9" t="str">
        <x:v>Crime Patrol 2: Drug Wars</x:v>
      </x:c>
      <x:c r="E883" s="9" t="str">
        <x:v>Drug Wars</x:v>
      </x:c>
      <x:c r="F883" s="9" t="str">
        <x:v>American Laser Games (original); DVD remaster by Digital Leisure</x:v>
      </x:c>
      <x:c r="G883" s="9" t="str">
        <x:v>Digital Leisure</x:v>
      </x:c>
      <x:c r="H883" s="9" t="n">
        <x:v>2002</x:v>
      </x:c>
      <x:c r="I883" s="9" t="str">
        <x:v>Yes</x:v>
      </x:c>
      <x:c r="J883" s="9" t="str">
        <x:v>No</x:v>
      </x:c>
      <x:c r="K883" s="9" t="str">
        <x:v>No</x:v>
      </x:c>
      <x:c r="L883" s="9" t="str">
        <x:v>No</x:v>
      </x:c>
      <x:c r="M883" s="9" t="str">
        <x:v>Police shooter</x:v>
      </x:c>
      <x:c r="N883" s="9" t="str">
        <x:v>Live-action</x:v>
      </x:c>
      <x:c r="O883" s="9" t="n">
        <x:v>10</x:v>
      </x:c>
      <x:c r="P883" s="9" t="str">
        <x:v>American Laser Games</x:v>
      </x:c>
      <x:c r="Q883" s="9" t="str">
        <x:v>Released</x:v>
      </x:c>
      <x:c r="R883" s="9" t="str">
        <x:v>Arcade laserdisc game (American Laser Games, 1993)</x:v>
      </x:c>
      <x:c r="S883" s="9" t="str">
        <x:v>Arcade laserdisc, DOS, 3DO, CD-i, Windows</x:v>
      </x:c>
      <x:c r="T883" s="9" t="str">
        <x:v>Uncredited (verify)</x:v>
      </x:c>
      <x:c r="U883" s="9" t="n">
        <x:v>1</x:v>
      </x:c>
      <x:c r="V883" s="9" t="str">
        <x:v>No</x:v>
      </x:c>
      <x:c r="W883" s="9" t="str">
        <x:v>Any DVD player (remote); Digital Leisure discs also run on PS2, Xbox and DVD-ROM PCs/Macs; no light gun: shots are aimed with the remote's direction keys and fired with Enter</x:v>
      </x:c>
      <x:c r="X883" s="9" t="str">
        <x:v>Low</x:v>
      </x:c>
      <x:c r="Y883" s="9" t="str"/>
      <x:c r="Z883" s="9" t="str">
        <x:v>20–30 min</x:v>
      </x:c>
      <x:c r="AA883" s="9" t="str">
        <x:v>Car chases and drug busts from Sierra County to a South American cartel, played with a DVD remote.</x:v>
      </x:c>
      <x:c r="AB883" s="9" t="str">
        <x:v>None known</x:v>
      </x:c>
      <x:c r="AC883" s="9" t="str">
        <x:v>NTSC 480i MPEG-2, full screen 1.33:1; Digital Leisure remaster of the original footage with updated video and sound (verify bitrate)</x:v>
      </x:c>
      <x:c r="AD883" s="9" t="str">
        <x:v>Moderate; three lives, limited but reloadable ammo</x:v>
      </x:c>
      <x:c r="AE883" s="9" t="str">
        <x:v>One ending at the drug baron's compound in South America</x:v>
      </x:c>
      <x:c r="AF883" s="9" t="str">
        <x:v>Digital Leisure announced the remastered DVD on 2 July 2002 ('spectacular video quality', aim and fire with the remote, PS2/Xbox compatible); the CD-ROM followed that fall.</x:v>
      </x:c>
      <x:c r="AG883" s="9" t="str">
        <x:v>DVD-Video (NTSC), sold as 'Drug Wars'; Windows CD-ROM reissue (2002)</x:v>
      </x:c>
      <x:c r="AH883" s="9" t="str">
        <x:v>No verified current digital sale; original discs and legacy Digital Leisure editions (platforms vary).</x:v>
      </x:c>
      <x:c r="AI883" s="9" t="str">
        <x:v>Easy</x:v>
      </x:c>
      <x:c r="AJ883" s="9" t="str">
        <x:v>Any region 1/region-free DVD player, PS2 or Xbox; original DVD required. Current official digital sale unverified.</x:v>
      </x:c>
      <x:c r="AK883" s="9" t="str">
        <x:v>Listed in the task as 'Drug Wars' (the DVD's box title); keyed to the index title. Year from Wikipedia ('re-released by Digital Leisure in 2002') and the July 2002 announcement.</x:v>
      </x:c>
      <x:c r="AL883" s="10"/>
      <x:c r="AM883" s="10"/>
      <x:c r="AN883" s="10"/>
      <x:c r="AO883" s="9"/>
      <x:c r="AP883" s="11" t="str">
        <x:f>HYPERLINK("https://www.pricecharting.com/search-products?q=Crime+Patrol+2%3A+Drug+Wars+dvd&amp;type=prices","PriceCharting")</x:f>
        <x:v>PriceCharting</x:v>
      </x:c>
      <x:c r="AQ883" s="9"/>
      <x:c r="AR883" s="9"/>
      <x:c r="AS883" s="9"/>
      <x:c r="AT883" s="9"/>
      <x:c r="AU883" s="9" t="str">
        <x:v>No market</x:v>
      </x:c>
      <x:c r="AV883" s="9" t="str">
        <x:v>PriceCharting has no DVD game listings and no other price guide tracks these discs.</x:v>
      </x:c>
      <x:c r="AW883" s="9"/>
      <x:c r="AX883" s="9"/>
      <x:c r="AY883" s="9"/>
      <x:c r="AZ883" s="9"/>
      <x:c r="BA883" s="11" t="str">
        <x:f>HYPERLINK("https://www.mobygames.com/search/?q=Crime+Patrol+2%3A+Drug+Wars","MobyGames")</x:f>
        <x:v>MobyGames</x:v>
      </x:c>
      <x:c r="BB883" s="9" t="str"/>
      <x:c r="BC883" s="9" t="str"/>
      <x:c r="BD883" s="9"/>
      <x:c r="BE883" s="11" t="str">
        <x:f>HYPERLINK("https://en.wikipedia.org/wiki/Crime_Patrol_2:_Drug_Wars","Wikipedia")</x:f>
        <x:v>Wikipedia</x:v>
      </x:c>
      <x:c r="BF883" s="11" t="str">
        <x:f>HYPERLINK("https://backloggd.com/search/games/Crime%20Patrol%202%3A%20Drug%20Wars/","Backloggd")</x:f>
        <x:v>Backloggd</x:v>
      </x:c>
      <x:c r="BG883" s="9"/>
      <x:c r="BH883" s="9"/>
      <x:c r="BI883" s="12" t="str">
        <x:v>No</x:v>
      </x:c>
      <x:c r="BJ883" s="12" t="str"/>
      <x:c r="BK883" s="12" t="str">
        <x:v>No</x:v>
      </x:c>
      <x:c r="BL883" s="12" t="str"/>
      <x:c r="BM883" s="12" t="str"/>
      <x:c r="BN883" s="12" t="str"/>
      <x:c r="BO883" s="12" t="str"/>
      <x:c r="BP883" s="12" t="str"/>
      <x:c r="BQ883" s="12" t="str"/>
    </x:row>
    <x:row r="884">
      <x:c r="A884" s="9" t="str">
        <x:v>dvd-9</x:v>
      </x:c>
      <x:c r="B884" s="9" t="str">
        <x:v>the-last-bounty-hunter</x:v>
      </x:c>
      <x:c r="C884" s="9" t="str">
        <x:v>DVD</x:v>
      </x:c>
      <x:c r="D884" s="9" t="str">
        <x:v>The Last Bounty Hunter</x:v>
      </x:c>
      <x:c r="E884" s="9" t="str"/>
      <x:c r="F884" s="9" t="str">
        <x:v>American Laser Games (original); DVD remaster by Digital Leisure</x:v>
      </x:c>
      <x:c r="G884" s="9" t="str">
        <x:v>Digital Leisure</x:v>
      </x:c>
      <x:c r="H884" s="9" t="n">
        <x:v>2003</x:v>
      </x:c>
      <x:c r="I884" s="9" t="str">
        <x:v>Yes</x:v>
      </x:c>
      <x:c r="J884" s="9" t="str">
        <x:v>No</x:v>
      </x:c>
      <x:c r="K884" s="9" t="str">
        <x:v>No</x:v>
      </x:c>
      <x:c r="L884" s="9" t="str">
        <x:v>No</x:v>
      </x:c>
      <x:c r="M884" s="9" t="str">
        <x:v>Western shooter</x:v>
      </x:c>
      <x:c r="N884" s="9" t="str">
        <x:v>Live-action</x:v>
      </x:c>
      <x:c r="O884" s="9" t="n">
        <x:v>10</x:v>
      </x:c>
      <x:c r="P884" s="9" t="str">
        <x:v>American Laser Games</x:v>
      </x:c>
      <x:c r="Q884" s="9" t="str">
        <x:v>Released</x:v>
      </x:c>
      <x:c r="R884" s="9" t="str">
        <x:v>Arcade laserdisc game (American Laser Games, 1994)</x:v>
      </x:c>
      <x:c r="S884" s="9" t="str">
        <x:v>Arcade laserdisc, DOS, 3DO, CD-i, Windows</x:v>
      </x:c>
      <x:c r="T884" s="9" t="str">
        <x:v>Wes Flowers (fast-draw champion, as a gunfighter); others uncredited</x:v>
      </x:c>
      <x:c r="U884" s="9" t="n">
        <x:v>1</x:v>
      </x:c>
      <x:c r="V884" s="9" t="str">
        <x:v>No</x:v>
      </x:c>
      <x:c r="W884" s="9" t="str">
        <x:v>Any DVD player (remote); Digital Leisure discs also run on PS2, Xbox and DVD-ROM PCs/Macs; no light gun: shots are aimed with the remote's direction keys and fired with Enter</x:v>
      </x:c>
      <x:c r="X884" s="9" t="str">
        <x:v>Low</x:v>
      </x:c>
      <x:c r="Y884" s="9" t="str"/>
      <x:c r="Z884" s="9" t="str">
        <x:v>20–30 min</x:v>
      </x:c>
      <x:c r="AA884" s="9" t="str">
        <x:v>ALG's comedy western shot at Old Tucson Studios, on DVD with remote-control quick draws.</x:v>
      </x:c>
      <x:c r="AB884" s="9" t="str">
        <x:v>None known</x:v>
      </x:c>
      <x:c r="AC884" s="9" t="str">
        <x:v>NTSC 480i MPEG-2, full screen 1.33:1; Digital Leisure remaster of the original footage with updated video and sound (verify bitrate)</x:v>
      </x:c>
      <x:c r="AD884" s="9" t="str">
        <x:v>Moderate; frequent random showdowns</x:v>
      </x:c>
      <x:c r="AE884" s="9" t="str">
        <x:v>Bosses can be killed or captured alive; one ending</x:v>
      </x:c>
      <x:c r="AF884" s="9" t="str">
        <x:v>Released 12 June 2003, the same day as Mad Dog II's DVD.</x:v>
      </x:c>
      <x:c r="AG884" s="9" t="str">
        <x:v>DVD-Video (NTSC)</x:v>
      </x:c>
      <x:c r="AH884" s="9" t="str">
        <x:v>No verified current digital sale; original discs and legacy Digital Leisure editions (platforms vary).</x:v>
      </x:c>
      <x:c r="AI884" s="9" t="str">
        <x:v>Easy</x:v>
      </x:c>
      <x:c r="AJ884" s="9" t="str">
        <x:v>Any region 1/region-free DVD player, PS2 or Xbox; original DVD required. Current official digital sale unverified.</x:v>
      </x:c>
      <x:c r="AK884" s="9" t="str">
        <x:v>Release date from Wikipedia's infobox. No DVD review score found.</x:v>
      </x:c>
      <x:c r="AL884" s="10"/>
      <x:c r="AM884" s="10"/>
      <x:c r="AN884" s="10"/>
      <x:c r="AO884" s="9"/>
      <x:c r="AP884" s="11" t="str">
        <x:f>HYPERLINK("https://www.pricecharting.com/search-products?q=The+Last+Bounty+Hunter+dvd&amp;type=prices","PriceCharting")</x:f>
        <x:v>PriceCharting</x:v>
      </x:c>
      <x:c r="AQ884" s="9"/>
      <x:c r="AR884" s="9"/>
      <x:c r="AS884" s="9"/>
      <x:c r="AT884" s="9"/>
      <x:c r="AU884" s="9" t="str">
        <x:v>No market</x:v>
      </x:c>
      <x:c r="AV884" s="9" t="str">
        <x:v>PriceCharting has no DVD game listings and no other price guide tracks these discs.</x:v>
      </x:c>
      <x:c r="AW884" s="9"/>
      <x:c r="AX884" s="9"/>
      <x:c r="AY884" s="9"/>
      <x:c r="AZ884" s="9"/>
      <x:c r="BA884" s="11" t="str">
        <x:f>HYPERLINK("https://www.mobygames.com/search/?q=The+Last+Bounty+Hunter","MobyGames")</x:f>
        <x:v>MobyGames</x:v>
      </x:c>
      <x:c r="BB884" s="9" t="str"/>
      <x:c r="BC884" s="9" t="str"/>
      <x:c r="BD884" s="9"/>
      <x:c r="BE884" s="11" t="str">
        <x:f>HYPERLINK("https://en.wikipedia.org/wiki/The_Last_Bounty_Hunter","Wikipedia")</x:f>
        <x:v>Wikipedia</x:v>
      </x:c>
      <x:c r="BF884" s="11" t="str">
        <x:f>HYPERLINK("https://backloggd.com/search/games/The%20Last%20Bounty%20Hunter/","Backloggd")</x:f>
        <x:v>Backloggd</x:v>
      </x:c>
      <x:c r="BG884" s="9"/>
      <x:c r="BH884" s="9"/>
      <x:c r="BI884" s="12" t="str">
        <x:v>No</x:v>
      </x:c>
      <x:c r="BJ884" s="12" t="str"/>
      <x:c r="BK884" s="12" t="str">
        <x:v>No</x:v>
      </x:c>
      <x:c r="BL884" s="12" t="str"/>
      <x:c r="BM884" s="12" t="str"/>
      <x:c r="BN884" s="12" t="str"/>
      <x:c r="BO884" s="12" t="str"/>
      <x:c r="BP884" s="12" t="str"/>
      <x:c r="BQ884" s="12" t="str"/>
    </x:row>
    <x:row r="885">
      <x:c r="A885" s="9" t="str">
        <x:v>dvd-10</x:v>
      </x:c>
      <x:c r="B885" s="9" t="str">
        <x:v>space-pirates</x:v>
      </x:c>
      <x:c r="C885" s="9" t="str">
        <x:v>DVD</x:v>
      </x:c>
      <x:c r="D885" s="9" t="str">
        <x:v>Space Pirates</x:v>
      </x:c>
      <x:c r="E885" s="9" t="str"/>
      <x:c r="F885" s="9" t="str">
        <x:v>American Laser Games (original); DVD by Digital Leisure</x:v>
      </x:c>
      <x:c r="G885" s="9" t="str">
        <x:v>Digital Leisure</x:v>
      </x:c>
      <x:c r="H885" s="9" t="n">
        <x:v>2005</x:v>
      </x:c>
      <x:c r="I885" s="9" t="str">
        <x:v>Yes</x:v>
      </x:c>
      <x:c r="J885" s="9" t="str">
        <x:v>No</x:v>
      </x:c>
      <x:c r="K885" s="9" t="str">
        <x:v>No</x:v>
      </x:c>
      <x:c r="L885" s="9" t="str">
        <x:v>No</x:v>
      </x:c>
      <x:c r="M885" s="9" t="str">
        <x:v>Sci-fi shooter</x:v>
      </x:c>
      <x:c r="N885" s="9" t="str">
        <x:v>Live-action + CG</x:v>
      </x:c>
      <x:c r="O885" s="9" t="n">
        <x:v>10</x:v>
      </x:c>
      <x:c r="P885" s="9" t="str">
        <x:v>American Laser Games</x:v>
      </x:c>
      <x:c r="Q885" s="9" t="str">
        <x:v>Released</x:v>
      </x:c>
      <x:c r="R885" s="9" t="str">
        <x:v>Arcade laserdisc game (American Laser Games, 1992)</x:v>
      </x:c>
      <x:c r="S885" s="9" t="str">
        <x:v>Arcade laserdisc, DOS, 3DO, Windows</x:v>
      </x:c>
      <x:c r="T885" s="9" t="str">
        <x:v>Ben Zeller (old man); others uncredited (verify)</x:v>
      </x:c>
      <x:c r="U885" s="9" t="n">
        <x:v>1</x:v>
      </x:c>
      <x:c r="V885" s="9" t="str">
        <x:v>No</x:v>
      </x:c>
      <x:c r="W885" s="9" t="str">
        <x:v>Any DVD player (remote); Digital Leisure discs also run on PS2, Xbox and DVD-ROM PCs/Macs; no light gun: shots are aimed with the remote's direction keys and fired with Enter</x:v>
      </x:c>
      <x:c r="X885" s="9" t="str">
        <x:v>Low</x:v>
      </x:c>
      <x:c r="Y885" s="9" t="str"/>
      <x:c r="Z885" s="9" t="str">
        <x:v>20–30 min</x:v>
      </x:c>
      <x:c r="AA885" s="9" t="str">
        <x:v>ALG's space opera arrived on DVD last, in 2005, long after the arcade light guns were gone.</x:v>
      </x:c>
      <x:c r="AB885" s="9" t="str">
        <x:v>None known</x:v>
      </x:c>
      <x:c r="AC885" s="9" t="str">
        <x:v>NTSC 480i MPEG-2, full screen (verify); GamesFirst faulted the presentation</x:v>
      </x:c>
      <x:c r="AD885" s="9" t="str">
        <x:v>Moderate; many home DVD players lag, which makes aiming mushy</x:v>
      </x:c>
      <x:c r="AE885" s="9" t="str">
        <x:v>One ending; planets visited in any order</x:v>
      </x:c>
      <x:c r="AF885" s="9" t="str">
        <x:v>Released in late 2005 with Fast Draw Showdown, formatted for set-top DVD players, PCs, Macs, Xbox and PS2.</x:v>
      </x:c>
      <x:c r="AG885" s="9" t="str">
        <x:v>DVD (DVD-Video plus PC/Mac use)</x:v>
      </x:c>
      <x:c r="AH885" s="9" t="str">
        <x:v>No verified current digital sale; original discs and legacy Digital Leisure editions (platforms vary).</x:v>
      </x:c>
      <x:c r="AI885" s="9" t="str">
        <x:v>Easy</x:v>
      </x:c>
      <x:c r="AJ885" s="9" t="str">
        <x:v>Any region 1/region-free DVD player, PS2 or Xbox; original DVD required. Current official digital sale unverified.</x:v>
      </x:c>
      <x:c r="AK885" s="9" t="str">
        <x:v>GamesFirst (July 2005) gave it 2/5 ('best variety', 'bad presentation'). Exact release month not confirmed (verify).</x:v>
      </x:c>
      <x:c r="AL885" s="10"/>
      <x:c r="AM885" s="10"/>
      <x:c r="AN885" s="10"/>
      <x:c r="AO885" s="9"/>
      <x:c r="AP885" s="11" t="str">
        <x:f>HYPERLINK("https://www.pricecharting.com/search-products?q=Space+Pirates+dvd&amp;type=prices","PriceCharting")</x:f>
        <x:v>PriceCharting</x:v>
      </x:c>
      <x:c r="AQ885" s="9"/>
      <x:c r="AR885" s="9"/>
      <x:c r="AS885" s="9"/>
      <x:c r="AT885" s="9"/>
      <x:c r="AU885" s="9" t="str">
        <x:v>No market</x:v>
      </x:c>
      <x:c r="AV885" s="9" t="str">
        <x:v>PriceCharting has no DVD game listings and no other price guide tracks these discs.</x:v>
      </x:c>
      <x:c r="AW885" s="9"/>
      <x:c r="AX885" s="9"/>
      <x:c r="AY885" s="9"/>
      <x:c r="AZ885" s="9"/>
      <x:c r="BA885" s="11" t="str">
        <x:f>HYPERLINK("https://www.mobygames.com/search/?q=Space+Pirates","MobyGames")</x:f>
        <x:v>MobyGames</x:v>
      </x:c>
      <x:c r="BB885" s="9" t="str"/>
      <x:c r="BC885" s="9" t="str"/>
      <x:c r="BD885" s="9"/>
      <x:c r="BE885" s="11" t="str">
        <x:f>HYPERLINK("https://en.wikipedia.org/wiki/Space_Pirates_(video_game)","Wikipedia")</x:f>
        <x:v>Wikipedia</x:v>
      </x:c>
      <x:c r="BF885" s="11" t="str">
        <x:f>HYPERLINK("https://backloggd.com/search/games/Space%20Pirates/","Backloggd")</x:f>
        <x:v>Backloggd</x:v>
      </x:c>
      <x:c r="BG885" s="9"/>
      <x:c r="BH885" s="9"/>
      <x:c r="BI885" s="12" t="str">
        <x:v>No</x:v>
      </x:c>
      <x:c r="BJ885" s="12" t="str"/>
      <x:c r="BK885" s="12" t="str">
        <x:v>No</x:v>
      </x:c>
      <x:c r="BL885" s="12" t="str"/>
      <x:c r="BM885" s="12" t="str"/>
      <x:c r="BN885" s="12" t="str"/>
      <x:c r="BO885" s="12" t="str"/>
      <x:c r="BP885" s="12" t="str"/>
      <x:c r="BQ885" s="12" t="str"/>
    </x:row>
    <x:row r="886">
      <x:c r="A886" s="9" t="str">
        <x:v>dvd-11</x:v>
      </x:c>
      <x:c r="B886" s="9" t="str">
        <x:v>thayers-quest</x:v>
      </x:c>
      <x:c r="C886" s="9" t="str">
        <x:v>DVD</x:v>
      </x:c>
      <x:c r="D886" s="9" t="str">
        <x:v>Thayer's Quest</x:v>
      </x:c>
      <x:c r="E886" s="9" t="str"/>
      <x:c r="F886" s="9" t="str">
        <x:v>RDI Video Systems (original); DVD by Digital Leisure</x:v>
      </x:c>
      <x:c r="G886" s="9" t="str">
        <x:v>Digital Leisure</x:v>
      </x:c>
      <x:c r="H886" s="9" t="n">
        <x:v>2005</x:v>
      </x:c>
      <x:c r="I886" s="9" t="str">
        <x:v>Yes</x:v>
      </x:c>
      <x:c r="J886" s="9" t="str">
        <x:v>No</x:v>
      </x:c>
      <x:c r="K886" s="9" t="str">
        <x:v>No</x:v>
      </x:c>
      <x:c r="L886" s="9" t="str">
        <x:v>No</x:v>
      </x:c>
      <x:c r="M886" s="9" t="str">
        <x:v>Adventure</x:v>
      </x:c>
      <x:c r="N886" s="9" t="str">
        <x:v>Animated</x:v>
      </x:c>
      <x:c r="O886" s="9" t="n">
        <x:v>10</x:v>
      </x:c>
      <x:c r="P886" s="9" t="str">
        <x:v>Laserdisc port</x:v>
      </x:c>
      <x:c r="Q886" s="9" t="str">
        <x:v>Released</x:v>
      </x:c>
      <x:c r="R886" s="9" t="str">
        <x:v>Arcade laserdisc game (RDI Video Systems, 1984)</x:v>
      </x:c>
      <x:c r="S886" s="9" t="str">
        <x:v>Arcade laserdisc, Halcyon (planned); remade as Kingdom: The Far Reaches (3DO, CD-i, PC, Mac)</x:v>
      </x:c>
      <x:c r="T886" s="9" t="str">
        <x:v>—</x:v>
      </x:c>
      <x:c r="U886" s="9" t="n">
        <x:v>1</x:v>
      </x:c>
      <x:c r="V886" s="9" t="str">
        <x:v>No</x:v>
      </x:c>
      <x:c r="W886" s="9" t="str">
        <x:v>Any DVD player (remote); Digital Leisure discs also run on PS2, Xbox and DVD-ROM PCs/Macs</x:v>
      </x:c>
      <x:c r="X886" s="9" t="str">
        <x:v>Low</x:v>
      </x:c>
      <x:c r="Y886" s="9" t="str"/>
      <x:c r="Z886" s="9" t="str">
        <x:v>1–2 hr</x:v>
      </x:c>
      <x:c r="AA886" s="9" t="str">
        <x:v>Rick Dyer's arcade adventure, which used a keyboard for its inventory, adapted for a DVD remote.</x:v>
      </x:c>
      <x:c r="AB886" s="9" t="str">
        <x:v>None known</x:v>
      </x:c>
      <x:c r="AC886" s="9" t="str">
        <x:v>NTSC MPEG-2 (verify aspect and remastering)</x:v>
      </x:c>
      <x:c r="AD886" s="9" t="str">
        <x:v>Trial and error; some mistakes end the quest</x:v>
      </x:c>
      <x:c r="AE886" s="9" t="str">
        <x:v>Branching paths, one winning ending</x:v>
      </x:c>
      <x:c r="AF886" s="9" t="str">
        <x:v>The original arcade game, not the Kingdom remake; Digital Leisure announced it for DVD and CD-ROM.</x:v>
      </x:c>
      <x:c r="AG886" s="9" t="str">
        <x:v>DVD-Video (sold as region free / DVD player, Xbox, PS2 compatible); CD-ROM edition</x:v>
      </x:c>
      <x:c r="AH886" s="9" t="str">
        <x:v>Unknown — verify</x:v>
      </x:c>
      <x:c r="AI886" s="9" t="str">
        <x:v>Easy</x:v>
      </x:c>
      <x:c r="AJ886" s="9" t="str">
        <x:v>Any region 1/region-free DVD player, PS2 or Xbox; the arcade original runs in Hypseus Singe with the disc image</x:v>
      </x:c>
      <x:c r="AK886" s="9" t="str">
        <x:v>Added beyond the task list. Year 2005 from retail listings ('DVD / HD Video Game, 2005'); confirm against the AWN announcement. How the arcade's keyboard inventory maps to the remote not confirmed.</x:v>
      </x:c>
      <x:c r="AL886" s="10"/>
      <x:c r="AM886" s="10"/>
      <x:c r="AN886" s="10"/>
      <x:c r="AO886" s="9"/>
      <x:c r="AP886" s="11" t="str">
        <x:f>HYPERLINK("https://www.pricecharting.com/search-products?q=Thayer%27s+Quest+dvd&amp;type=prices","PriceCharting")</x:f>
        <x:v>PriceCharting</x:v>
      </x:c>
      <x:c r="AQ886" s="9"/>
      <x:c r="AR886" s="9"/>
      <x:c r="AS886" s="9"/>
      <x:c r="AT886" s="9"/>
      <x:c r="AU886" s="9" t="str">
        <x:v>No market</x:v>
      </x:c>
      <x:c r="AV886" s="9" t="str">
        <x:v>PriceCharting has no DVD game listings and no other price guide tracks these discs. The PC version is on Steam ($9.99).</x:v>
      </x:c>
      <x:c r="AW886" s="9"/>
      <x:c r="AX886" s="9"/>
      <x:c r="AY886" s="9"/>
      <x:c r="AZ886" s="9"/>
      <x:c r="BA886" s="11" t="str">
        <x:f>HYPERLINK("https://www.mobygames.com/search/?q=Thayer%27s+Quest","MobyGames")</x:f>
        <x:v>MobyGames</x:v>
      </x:c>
      <x:c r="BB886" s="9" t="str"/>
      <x:c r="BC886" s="9" t="str"/>
      <x:c r="BD886" s="9"/>
      <x:c r="BE886" s="11" t="str">
        <x:f>HYPERLINK("https://en.wikipedia.org/wiki/Thayer%27s_Quest","Wikipedia")</x:f>
        <x:v>Wikipedia</x:v>
      </x:c>
      <x:c r="BF886" s="11" t="str">
        <x:f>HYPERLINK("https://backloggd.com/search/games/Thayer%27s%20Quest/","Backloggd")</x:f>
        <x:v>Backloggd</x:v>
      </x:c>
      <x:c r="BG886" s="9"/>
      <x:c r="BH886" s="9"/>
      <x:c r="BI886" s="12" t="str">
        <x:v>No</x:v>
      </x:c>
      <x:c r="BJ886" s="12" t="str"/>
      <x:c r="BK886" s="12" t="str">
        <x:v>No</x:v>
      </x:c>
      <x:c r="BL886" s="12" t="str"/>
      <x:c r="BM886" s="12" t="str"/>
      <x:c r="BN886" s="12" t="str"/>
      <x:c r="BO886" s="12" t="str"/>
      <x:c r="BP886" s="12" t="str"/>
      <x:c r="BQ886" s="12" t="str"/>
    </x:row>
    <x:row r="887">
      <x:c r="A887" s="9" t="str">
        <x:v>dvd-12</x:v>
      </x:c>
      <x:c r="B887" s="9" t="str">
        <x:v>time-traveler</x:v>
      </x:c>
      <x:c r="C887" s="9" t="str">
        <x:v>DVD</x:v>
      </x:c>
      <x:c r="D887" s="9" t="str">
        <x:v>Time Traveler</x:v>
      </x:c>
      <x:c r="E887" s="9" t="str">
        <x:v>Hologram Time Traveler</x:v>
      </x:c>
      <x:c r="F887" s="9" t="str">
        <x:v>Virtual Image Productions (original); DVD by Digital Leisure</x:v>
      </x:c>
      <x:c r="G887" s="9" t="str">
        <x:v>Digital Leisure</x:v>
      </x:c>
      <x:c r="H887" s="9" t="n">
        <x:v>2001</x:v>
      </x:c>
      <x:c r="I887" s="9" t="str">
        <x:v>Yes</x:v>
      </x:c>
      <x:c r="J887" s="9" t="str">
        <x:v>No</x:v>
      </x:c>
      <x:c r="K887" s="9" t="str">
        <x:v>No</x:v>
      </x:c>
      <x:c r="L887" s="9" t="str">
        <x:v>No</x:v>
      </x:c>
      <x:c r="M887" s="9" t="str">
        <x:v>Interactive movie (QTE)</x:v>
      </x:c>
      <x:c r="N887" s="9" t="str">
        <x:v>Live-action</x:v>
      </x:c>
      <x:c r="O887" s="9" t="n">
        <x:v>10</x:v>
      </x:c>
      <x:c r="P887" s="9" t="str">
        <x:v>Laserdisc port</x:v>
      </x:c>
      <x:c r="Q887" s="9" t="str">
        <x:v>Released</x:v>
      </x:c>
      <x:c r="R887" s="9" t="str">
        <x:v>Arcade laserdisc game (Sega / Virtual Image Productions, 1991)</x:v>
      </x:c>
      <x:c r="S887" s="9" t="str">
        <x:v>Arcade laserdisc (hologram cabinet), Windows/Mac CD-ROM</x:v>
      </x:c>
      <x:c r="T887" s="9" t="str">
        <x:v>Stephen Wilber (Marshal Gram), LeAnn McVicker (Princess Kyi-La)</x:v>
      </x:c>
      <x:c r="U887" s="9" t="n">
        <x:v>1</x:v>
      </x:c>
      <x:c r="V887" s="9" t="str">
        <x:v>No</x:v>
      </x:c>
      <x:c r="W887" s="9" t="str">
        <x:v>Any DVD player (remote); Digital Leisure discs also run on PS2, Xbox and DVD-ROM PCs/Macs</x:v>
      </x:c>
      <x:c r="X887" s="9" t="str">
        <x:v>Low</x:v>
      </x:c>
      <x:c r="Y887" s="9" t="str"/>
      <x:c r="Z887" s="9" t="str">
        <x:v>15–30 min</x:v>
      </x:c>
      <x:c r="AA887" s="9" t="str">
        <x:v>Sega's 'holographic' arcade game squashed onto an ordinary TV, which tells you how much of it was the mirror.</x:v>
      </x:c>
      <x:c r="AB887" s="9" t="str">
        <x:v>None known</x:v>
      </x:c>
      <x:c r="AC887" s="9" t="str">
        <x:v>NTSC MPEG-2 video of the green-screen footage; the DVD adds a red-blue stereographic (anaglyph) mode to mimic the arcade's hologram effect</x:v>
      </x:c>
      <x:c r="AD887" s="9" t="str">
        <x:v>Dragon's Lair-style timing on a remote</x:v>
      </x:c>
      <x:c r="AE887" s="9" t="str">
        <x:v>Seven randomized time periods; single ending (verify)</x:v>
      </x:c>
      <x:c r="AF887" s="9" t="str">
        <x:v>Digital Leisure's January 2002 press release named it among its DVD Video titles as 'the world's first holographic video game'.</x:v>
      </x:c>
      <x:c r="AG887" s="9" t="str">
        <x:v>DVD-Video (2001, sold as PlayStation 2 compatible); PC CD-ROM edition (2001, per Wikipedia)</x:v>
      </x:c>
      <x:c r="AH887" s="9" t="str">
        <x:v>No</x:v>
      </x:c>
      <x:c r="AI887" s="9" t="str">
        <x:v>Easy</x:v>
      </x:c>
      <x:c r="AJ887" s="9" t="str">
        <x:v>Any region 1/region-free DVD player, PS2 or Xbox; the arcade original runs in Hypseus Singe with the disc image</x:v>
      </x:c>
      <x:c r="AK887" s="9" t="str">
        <x:v>Added beyond the task list. Year from retail listings ('Hologram Time Traveler (DVD, 2001)').</x:v>
      </x:c>
      <x:c r="AL887" s="10"/>
      <x:c r="AM887" s="10"/>
      <x:c r="AN887" s="10"/>
      <x:c r="AO887" s="9"/>
      <x:c r="AP887" s="11" t="str">
        <x:f>HYPERLINK("https://www.pricecharting.com/search-products?q=Time+Traveler+dvd&amp;type=prices","PriceCharting")</x:f>
        <x:v>PriceCharting</x:v>
      </x:c>
      <x:c r="AQ887" s="9"/>
      <x:c r="AR887" s="9"/>
      <x:c r="AS887" s="9"/>
      <x:c r="AT887" s="9"/>
      <x:c r="AU887" s="9" t="str">
        <x:v>No market</x:v>
      </x:c>
      <x:c r="AV887" s="9" t="str">
        <x:v>PriceCharting has no DVD game listings and no other price guide tracks these discs.</x:v>
      </x:c>
      <x:c r="AW887" s="9"/>
      <x:c r="AX887" s="9"/>
      <x:c r="AY887" s="9"/>
      <x:c r="AZ887" s="9"/>
      <x:c r="BA887" s="11" t="str">
        <x:f>HYPERLINK("https://www.mobygames.com/search/?q=Time+Traveler","MobyGames")</x:f>
        <x:v>MobyGames</x:v>
      </x:c>
      <x:c r="BB887" s="9" t="str"/>
      <x:c r="BC887" s="9" t="str"/>
      <x:c r="BD887" s="9"/>
      <x:c r="BE887" s="11" t="str">
        <x:f>HYPERLINK("https://en.wikipedia.org/wiki/Time_Traveler_(video_game)","Wikipedia")</x:f>
        <x:v>Wikipedia</x:v>
      </x:c>
      <x:c r="BF887" s="11" t="str">
        <x:f>HYPERLINK("https://backloggd.com/search/games/Time%20Traveler/","Backloggd")</x:f>
        <x:v>Backloggd</x:v>
      </x:c>
      <x:c r="BG887" s="9"/>
      <x:c r="BH887" s="9"/>
      <x:c r="BI887" s="12" t="str">
        <x:v>No</x:v>
      </x:c>
      <x:c r="BJ887" s="12" t="str"/>
      <x:c r="BK887" s="12" t="str">
        <x:v>No</x:v>
      </x:c>
      <x:c r="BL887" s="12" t="str"/>
      <x:c r="BM887" s="12" t="str"/>
      <x:c r="BN887" s="12" t="str"/>
      <x:c r="BO887" s="12" t="str"/>
      <x:c r="BP887" s="12" t="str"/>
      <x:c r="BQ887" s="12" t="str"/>
    </x:row>
    <x:row r="888">
      <x:c r="A888" s="9" t="str">
        <x:v>dvd-13</x:v>
      </x:c>
      <x:c r="B888" s="9" t="str">
        <x:v>kingdom-ii-shadoan</x:v>
      </x:c>
      <x:c r="C888" s="9" t="str">
        <x:v>DVD</x:v>
      </x:c>
      <x:c r="D888" s="9" t="str">
        <x:v>Kingdom II: Shadoan</x:v>
      </x:c>
      <x:c r="E888" s="9" t="str">
        <x:v>Shadoan</x:v>
      </x:c>
      <x:c r="F888" s="9" t="str">
        <x:v>Virtual Image Productions (original); DVD by Digital Leisure</x:v>
      </x:c>
      <x:c r="G888" s="9" t="str">
        <x:v>Digital Leisure</x:v>
      </x:c>
      <x:c r="H888" s="9" t="n">
        <x:v>2001</x:v>
      </x:c>
      <x:c r="I888" s="9" t="str">
        <x:v>Yes</x:v>
      </x:c>
      <x:c r="J888" s="9" t="str">
        <x:v>No</x:v>
      </x:c>
      <x:c r="K888" s="9" t="str">
        <x:v>No</x:v>
      </x:c>
      <x:c r="L888" s="9" t="str">
        <x:v>No</x:v>
      </x:c>
      <x:c r="M888" s="9" t="str">
        <x:v>Animated adventure</x:v>
      </x:c>
      <x:c r="N888" s="9" t="str">
        <x:v>Animated</x:v>
      </x:c>
      <x:c r="O888" s="9" t="n">
        <x:v>10</x:v>
      </x:c>
      <x:c r="P888" s="9" t="str">
        <x:v>Laserdisc port</x:v>
      </x:c>
      <x:c r="Q888" s="9" t="str">
        <x:v>Released</x:v>
      </x:c>
      <x:c r="R888" s="9" t="str">
        <x:v>CD-ROM original (Virtual Image Productions, 1996; PC/CD-i)</x:v>
      </x:c>
      <x:c r="S888" s="9" t="str">
        <x:v>MS-DOS, Classic Mac OS</x:v>
      </x:c>
      <x:c r="T888" s="9" t="str">
        <x:v>Voice cast undocumented (verify)</x:v>
      </x:c>
      <x:c r="U888" s="9" t="n">
        <x:v>1</x:v>
      </x:c>
      <x:c r="V888" s="9" t="str">
        <x:v>No</x:v>
      </x:c>
      <x:c r="W888" s="9" t="str">
        <x:v>Any DVD player (remote); Digital Leisure discs also run on PS2, Xbox and DVD-ROM PCs/Macs</x:v>
      </x:c>
      <x:c r="X888" s="9" t="str">
        <x:v>Low</x:v>
      </x:c>
      <x:c r="Y888" s="9" t="str"/>
      <x:c r="Z888" s="9" t="str">
        <x:v>1–3 hr</x:v>
      </x:c>
      <x:c r="AA888" s="9" t="str">
        <x:v>Rick Dyer's sequel to Kingdom, the Thayer's Quest remake, as a branching animated DVD.</x:v>
      </x:c>
      <x:c r="AB888" s="9" t="str">
        <x:v>None known</x:v>
      </x:c>
      <x:c r="AC888" s="9" t="str">
        <x:v>NTSC MPEG-2 (verify)</x:v>
      </x:c>
      <x:c r="AD888" s="9" t="str">
        <x:v>Moderate-high; trial and error</x:v>
      </x:c>
      <x:c r="AE888" s="9" t="str">
        <x:v>Branching paths; one ending</x:v>
      </x:c>
      <x:c r="AF888" s="9" t="str">
        <x:v>Digital Leisure bought worldwide DVD-Video, DVD-ROM and CD-ROM rights in mid-2000; the January 2002 press release lists Shadoan among its DVD Video titles.</x:v>
      </x:c>
      <x:c r="AG888" s="9" t="str">
        <x:v>DVD-Video sold as 'Shadoan' (PS2/Xbox compatible); DVD-ROM</x:v>
      </x:c>
      <x:c r="AH888" s="9" t="str">
        <x:v>Unknown — verify</x:v>
      </x:c>
      <x:c r="AI888" s="9" t="str">
        <x:v>Easy</x:v>
      </x:c>
      <x:c r="AJ888" s="9" t="str">
        <x:v>Any region 1/region-free DVD player, PS2 or Xbox; the PC original in DOSBox/ScummVM</x:v>
      </x:c>
      <x:c r="AK888" s="9" t="str">
        <x:v>Added beyond the task list. Not a laserdisc original; category 'Laserdisc port' used because the brief allows only four DVD categories (it is an FMV port; adjust if wanted). Year between mid-2000 and Jan 2002, 2001 is a best estimate (verify).</x:v>
      </x:c>
      <x:c r="AL888" s="10"/>
      <x:c r="AM888" s="10"/>
      <x:c r="AN888" s="10"/>
      <x:c r="AO888" s="9"/>
      <x:c r="AP888" s="11" t="str">
        <x:f>HYPERLINK("https://www.pricecharting.com/search-products?q=Kingdom+II%3A+Shadoan+dvd&amp;type=prices","PriceCharting")</x:f>
        <x:v>PriceCharting</x:v>
      </x:c>
      <x:c r="AQ888" s="9"/>
      <x:c r="AR888" s="9"/>
      <x:c r="AS888" s="9"/>
      <x:c r="AT888" s="9"/>
      <x:c r="AU888" s="9" t="str">
        <x:v>No market</x:v>
      </x:c>
      <x:c r="AV888" s="9" t="str">
        <x:v>PriceCharting has no DVD game listings and no other price guide tracks these discs. The PC version is on GOG ($9.99).</x:v>
      </x:c>
      <x:c r="AW888" s="9"/>
      <x:c r="AX888" s="9"/>
      <x:c r="AY888" s="9"/>
      <x:c r="AZ888" s="9"/>
      <x:c r="BA888" s="11" t="str">
        <x:f>HYPERLINK("https://www.mobygames.com/search/?q=Kingdom+II%3A+Shadoan","MobyGames")</x:f>
        <x:v>MobyGames</x:v>
      </x:c>
      <x:c r="BB888" s="9" t="str"/>
      <x:c r="BC888" s="9" t="str"/>
      <x:c r="BD888" s="9"/>
      <x:c r="BE888" s="11" t="str">
        <x:f>HYPERLINK("https://en.wikipedia.org/wiki/Kingdom_II:_Shadoan","Wikipedia")</x:f>
        <x:v>Wikipedia</x:v>
      </x:c>
      <x:c r="BF888" s="11" t="str">
        <x:f>HYPERLINK("https://backloggd.com/search/games/Kingdom%20II%3A%20Shadoan/","Backloggd")</x:f>
        <x:v>Backloggd</x:v>
      </x:c>
      <x:c r="BG888" s="9"/>
      <x:c r="BH888" s="9"/>
      <x:c r="BI888" s="12" t="str">
        <x:v>No</x:v>
      </x:c>
      <x:c r="BJ888" s="12" t="str"/>
      <x:c r="BK888" s="12" t="str">
        <x:v>No</x:v>
      </x:c>
      <x:c r="BL888" s="12" t="str"/>
      <x:c r="BM888" s="12" t="str"/>
      <x:c r="BN888" s="12" t="str"/>
      <x:c r="BO888" s="12" t="str"/>
      <x:c r="BP888" s="12" t="str"/>
      <x:c r="BQ888" s="12" t="str"/>
    </x:row>
    <x:row r="889">
      <x:c r="A889" s="9" t="str">
        <x:v>dvd-14</x:v>
      </x:c>
      <x:c r="B889" s="9" t="str">
        <x:v>im-your-man</x:v>
      </x:c>
      <x:c r="C889" s="9" t="str">
        <x:v>DVD</x:v>
      </x:c>
      <x:c r="D889" s="9" t="str">
        <x:v>I'm Your Man</x:v>
      </x:c>
      <x:c r="E889" s="9" t="str"/>
      <x:c r="F889" s="9" t="str">
        <x:v>Interfilm / Controlled Entropy Entertainment (dir. Bob Bejan)</x:v>
      </x:c>
      <x:c r="G889" s="9" t="str">
        <x:v>DVD International</x:v>
      </x:c>
      <x:c r="H889" s="9" t="n">
        <x:v>1998</x:v>
      </x:c>
      <x:c r="I889" s="9" t="str">
        <x:v>Yes</x:v>
      </x:c>
      <x:c r="J889" s="9" t="str">
        <x:v>No</x:v>
      </x:c>
      <x:c r="K889" s="9" t="str">
        <x:v>No</x:v>
      </x:c>
      <x:c r="L889" s="9" t="str">
        <x:v>No</x:v>
      </x:c>
      <x:c r="M889" s="9" t="str">
        <x:v>Interactive comedy film</x:v>
      </x:c>
      <x:c r="N889" s="9" t="str">
        <x:v>Live-action</x:v>
      </x:c>
      <x:c r="O889" s="9" t="n">
        <x:v>10</x:v>
      </x:c>
      <x:c r="P889" s="9" t="str">
        <x:v>Interactive movie</x:v>
      </x:c>
      <x:c r="Q889" s="9" t="str">
        <x:v>Released</x:v>
      </x:c>
      <x:c r="R889" s="9" t="str">
        <x:v>Interactive theatrical short film (Interfilm, 1992), where the audience voted at each branch with seat-mounted pistol-grip controllers</x:v>
      </x:c>
      <x:c r="S889" s="9" t="str">
        <x:v>Interfilm theaters (1992)</x:v>
      </x:c>
      <x:c r="T889" s="9" t="str">
        <x:v>Mark Metcalf, Colleen Quinn, Kevin Seal, A. Whitney Brown, Michael Ian Black, Robert Ben Garant</x:v>
      </x:c>
      <x:c r="U889" s="9" t="n">
        <x:v>1</x:v>
      </x:c>
      <x:c r="V889" s="9" t="str">
        <x:v>No</x:v>
      </x:c>
      <x:c r="W889" s="9" t="str">
        <x:v>Any DVD player (remote); Digital Leisure discs also run on PS2, Xbox and DVD-ROM PCs/Macs</x:v>
      </x:c>
      <x:c r="X889" s="9" t="str">
        <x:v>Low</x:v>
      </x:c>
      <x:c r="Y889" s="9" t="str"/>
      <x:c r="Z889" s="9" t="str">
        <x:v>About 20 min per viewing; under 2 hr to see every branch</x:v>
      </x:c>
      <x:c r="AA889" s="9" t="str">
        <x:v>Sold as the first interactive movie on DVD, and an early screen credit for The State's Michael Ian Black and Ben Garant.</x:v>
      </x:c>
      <x:c r="AB889" s="9" t="str">
        <x:v>None known</x:v>
      </x:c>
      <x:c r="AC889" s="9" t="str">
        <x:v>NTSC 480i MPEG-2, full screen, from the 1992 film (verify)</x:v>
      </x:c>
      <x:c r="AD889" s="9" t="str">
        <x:v>None; pick a character's choice at each branch point with the remote</x:v>
      </x:c>
      <x:c r="AE889" s="9" t="str">
        <x:v>Three endings: the audience decides which of the three leads gets the happy ending</x:v>
      </x:c>
      <x:c r="AF889" s="9" t="str">
        <x:v>Interfilm ran it in theaters fitted with voting pistol grips in 1992; DVD International's 1998 disc was subtitled 'the first interactive movie on DVD'.</x:v>
      </x:c>
      <x:c r="AG889" s="9" t="str">
        <x:v>DVD International DVD-Video (1998, 'The first interactive movie on DVD')</x:v>
      </x:c>
      <x:c r="AH889" s="9" t="str">
        <x:v>No</x:v>
      </x:c>
      <x:c r="AI889" s="9" t="str">
        <x:v>Easy</x:v>
      </x:c>
      <x:c r="AJ889" s="9" t="str">
        <x:v>Any region 1 DVD player (disc out of print but common second-hand)</x:v>
      </x:c>
      <x:c r="AK889" s="9" t="str">
        <x:v>IMDb lists it (tt0171392). No critic score for the DVD found.</x:v>
      </x:c>
      <x:c r="AL889" s="10"/>
      <x:c r="AM889" s="10"/>
      <x:c r="AN889" s="10"/>
      <x:c r="AO889" s="9"/>
      <x:c r="AP889" s="11" t="str">
        <x:f>HYPERLINK("https://www.pricecharting.com/search-products?q=I%27m+Your+Man+dvd&amp;type=prices","PriceCharting")</x:f>
        <x:v>PriceCharting</x:v>
      </x:c>
      <x:c r="AQ889" s="9"/>
      <x:c r="AR889" s="9"/>
      <x:c r="AS889" s="9"/>
      <x:c r="AT889" s="9"/>
      <x:c r="AU889" s="9" t="str">
        <x:v>No market</x:v>
      </x:c>
      <x:c r="AV889" s="9" t="str">
        <x:v>PriceCharting has no DVD game listings and no other price guide tracks these discs.</x:v>
      </x:c>
      <x:c r="AW889" s="9"/>
      <x:c r="AX889" s="9"/>
      <x:c r="AY889" s="9"/>
      <x:c r="AZ889" s="9"/>
      <x:c r="BA889" s="11" t="str">
        <x:f>HYPERLINK("https://www.mobygames.com/search/?q=I%27m+Your+Man","MobyGames")</x:f>
        <x:v>MobyGames</x:v>
      </x:c>
      <x:c r="BB889" s="9" t="str"/>
      <x:c r="BC889" s="9" t="str"/>
      <x:c r="BD889" s="9"/>
      <x:c r="BE889" s="11" t="str">
        <x:f>HYPERLINK("https://en.wikipedia.org/wiki/I%27m_Your_Man_(1992_film)","Wikipedia")</x:f>
        <x:v>Wikipedia</x:v>
      </x:c>
      <x:c r="BF889" s="11" t="str">
        <x:f>HYPERLINK("https://backloggd.com/search/games/I%27m%20Your%20Man/","Backloggd")</x:f>
        <x:v>Backloggd</x:v>
      </x:c>
      <x:c r="BG889" s="9"/>
      <x:c r="BH889" s="9"/>
      <x:c r="BI889" s="12" t="str">
        <x:v>No</x:v>
      </x:c>
      <x:c r="BJ889" s="12" t="str"/>
      <x:c r="BK889" s="12" t="str">
        <x:v>No</x:v>
      </x:c>
      <x:c r="BL889" s="12" t="str"/>
      <x:c r="BM889" s="12" t="str"/>
      <x:c r="BN889" s="12" t="str"/>
      <x:c r="BO889" s="12" t="str"/>
      <x:c r="BP889" s="12" t="str"/>
      <x:c r="BQ889" s="12" t="str"/>
    </x:row>
    <x:row r="890">
      <x:c r="A890" s="9" t="str">
        <x:v>dvd-15</x:v>
      </x:c>
      <x:c r="B890" s="9" t="str">
        <x:v>tender-loving-care</x:v>
      </x:c>
      <x:c r="C890" s="9" t="str">
        <x:v>DVD</x:v>
      </x:c>
      <x:c r="D890" s="9" t="str">
        <x:v>Tender Loving Care</x:v>
      </x:c>
      <x:c r="E890" s="9" t="str">
        <x:v>TLC</x:v>
      </x:c>
      <x:c r="F890" s="9" t="str">
        <x:v>Aftermath Media (founded by Rob Landeros and David Wheeler to finish the project begun at Trilobyte)</x:v>
      </x:c>
      <x:c r="G890" s="9" t="str">
        <x:v>Aftermath Media</x:v>
      </x:c>
      <x:c r="H890" s="9" t="n">
        <x:v>1998</x:v>
      </x:c>
      <x:c r="I890" s="9" t="str">
        <x:v>Yes</x:v>
      </x:c>
      <x:c r="J890" s="9" t="str">
        <x:v>No</x:v>
      </x:c>
      <x:c r="K890" s="9" t="str">
        <x:v>No</x:v>
      </x:c>
      <x:c r="L890" s="9" t="str">
        <x:v>No</x:v>
      </x:c>
      <x:c r="M890" s="9" t="str">
        <x:v>Interactive movie / psychological drama</x:v>
      </x:c>
      <x:c r="N890" s="9" t="str">
        <x:v>Live-action</x:v>
      </x:c>
      <x:c r="O890" s="9" t="n">
        <x:v>9</x:v>
      </x:c>
      <x:c r="P890" s="9" t="str">
        <x:v>Interactive movie</x:v>
      </x:c>
      <x:c r="Q890" s="9" t="str">
        <x:v>Released</x:v>
      </x:c>
      <x:c r="R890" s="9" t="str">
        <x:v>Original production by Aftermath Media (begun at Trilobyte)</x:v>
      </x:c>
      <x:c r="S890" s="9" t="str">
        <x:v>PC CD-ROM, DVD-ROM, Steam</x:v>
      </x:c>
      <x:c r="T890" s="9" t="str">
        <x:v>John Hurt (Dr. Turner), Michael Esposito, Beth Tegarden, Marie Caldare</x:v>
      </x:c>
      <x:c r="U890" s="9" t="n">
        <x:v>1</x:v>
      </x:c>
      <x:c r="V890" s="9" t="str">
        <x:v>No</x:v>
      </x:c>
      <x:c r="W890" s="9" t="str">
        <x:v>Any DVD player (remote); Digital Leisure discs also run on PS2, Xbox and DVD-ROM PCs/Macs</x:v>
      </x:c>
      <x:c r="X890" s="9" t="str">
        <x:v>Low</x:v>
      </x:c>
      <x:c r="Y890" s="9" t="str"/>
      <x:c r="Z890" s="9" t="str">
        <x:v>2–3 hr</x:v>
      </x:c>
      <x:c r="AA890" s="9" t="str">
        <x:v>John Hurt quizzes you about your own fantasies as a psychological thriller plays out around your answers.</x:v>
      </x:c>
      <x:c r="AB890" s="9" t="str">
        <x:v>None known</x:v>
      </x:c>
      <x:c r="AC890" s="9" t="str">
        <x:v>NTSC 480i MPEG-2, Dolby Digital (verify aspect ratio)</x:v>
      </x:c>
      <x:c r="AD890" s="9" t="str">
        <x:v>No challenge; you answer personality questions between chapters</x:v>
      </x:c>
      <x:c r="AE890" s="9" t="str">
        <x:v>Several endings shaped by your answers (verify count)</x:v>
      </x:c>
      <x:c r="AF890" s="9" t="str">
        <x:v>Rob Landeros started it at Trilobyte, then finished it at his own Aftermath Media, which put it out as an interactive DVD movie as well as on PC.</x:v>
      </x:c>
      <x:c r="AG890" s="9" t="str">
        <x:v>Interactive DVD-Video (with manual, UPC 647715071927); DVD-ROM and CD-ROM PC editions</x:v>
      </x:c>
      <x:c r="AH890" s="9" t="str">
        <x:v>Yes (Steam)</x:v>
      </x:c>
      <x:c r="AI890" s="9" t="str">
        <x:v>Easy</x:v>
      </x:c>
      <x:c r="AJ890" s="9" t="str">
        <x:v>Any region 1 DVD player; also Steam (PC)</x:v>
      </x:c>
      <x:c r="AK890" s="9" t="str">
        <x:v>Year of the DVD-Video edition: 1998 per the existing PC record and OGDB (verify month; Digital Leisure took NA rights in early 1999 for DVD-ROM and CD-ROM). Contains adult themes and nudity (verify extent). Aintitcool reviewed it as an 'interactive DVD movie'.</x:v>
      </x:c>
      <x:c r="AL890" s="10"/>
      <x:c r="AM890" s="10"/>
      <x:c r="AN890" s="10"/>
      <x:c r="AO890" s="9"/>
      <x:c r="AP890" s="11" t="str">
        <x:f>HYPERLINK("https://www.pricecharting.com/search-products?q=Tender+Loving+Care+dvd&amp;type=prices","PriceCharting")</x:f>
        <x:v>PriceCharting</x:v>
      </x:c>
      <x:c r="AQ890" s="9"/>
      <x:c r="AR890" s="9"/>
      <x:c r="AS890" s="9"/>
      <x:c r="AT890" s="9"/>
      <x:c r="AU890" s="9" t="str">
        <x:v>No market</x:v>
      </x:c>
      <x:c r="AV890" s="9" t="str">
        <x:v>PriceCharting has no DVD game listings and no other price guide tracks these discs. The PC version is on Steam ($5.99).</x:v>
      </x:c>
      <x:c r="AW890" s="9"/>
      <x:c r="AX890" s="9"/>
      <x:c r="AY890" s="9"/>
      <x:c r="AZ890" s="9"/>
      <x:c r="BA890" s="11" t="str">
        <x:f>HYPERLINK("https://www.mobygames.com/search/?q=Tender+Loving+Care","MobyGames")</x:f>
        <x:v>MobyGames</x:v>
      </x:c>
      <x:c r="BB890" s="9" t="str"/>
      <x:c r="BC890" s="9" t="str"/>
      <x:c r="BD890" s="9"/>
      <x:c r="BE890" s="11" t="str">
        <x:f>HYPERLINK("https://en.wikipedia.org/wiki/Tender_Loving_Care_(video_game)","Wikipedia")</x:f>
        <x:v>Wikipedia</x:v>
      </x:c>
      <x:c r="BF890" s="11" t="str">
        <x:f>HYPERLINK("https://backloggd.com/search/games/Tender%20Loving%20Care/","Backloggd")</x:f>
        <x:v>Backloggd</x:v>
      </x:c>
      <x:c r="BG890" s="9"/>
      <x:c r="BH890" s="9"/>
      <x:c r="BI890" s="12" t="str">
        <x:v>No</x:v>
      </x:c>
      <x:c r="BJ890" s="12" t="str"/>
      <x:c r="BK890" s="12" t="str">
        <x:v>No</x:v>
      </x:c>
      <x:c r="BL890" s="12" t="str"/>
      <x:c r="BM890" s="12" t="str"/>
      <x:c r="BN890" s="12" t="str"/>
      <x:c r="BO890" s="12" t="str"/>
      <x:c r="BP890" s="12" t="str"/>
      <x:c r="BQ890" s="12" t="str"/>
    </x:row>
    <x:row r="891">
      <x:c r="A891" s="9" t="str">
        <x:v>dvd-16</x:v>
      </x:c>
      <x:c r="B891" s="9" t="str">
        <x:v>scene-it</x:v>
      </x:c>
      <x:c r="C891" s="9" t="str">
        <x:v>DVD</x:v>
      </x:c>
      <x:c r="D891" s="9" t="str">
        <x:v>Scene It?</x:v>
      </x:c>
      <x:c r="E891" s="9" t="str">
        <x:v>Scene It? The DVD Movie Game; Scene It? Movie Edition</x:v>
      </x:c>
      <x:c r="F891" s="9" t="str">
        <x:v>Screenlife Games</x:v>
      </x:c>
      <x:c r="G891" s="9" t="str">
        <x:v>Screenlife Games (NA, 2002); Mattel (distribution from 2003)</x:v>
      </x:c>
      <x:c r="H891" s="9" t="n">
        <x:v>2002</x:v>
      </x:c>
      <x:c r="I891" s="9" t="str">
        <x:v>Yes</x:v>
      </x:c>
      <x:c r="J891" s="9" t="str">
        <x:v>No</x:v>
      </x:c>
      <x:c r="K891" s="9" t="str">
        <x:v>Yes</x:v>
      </x:c>
      <x:c r="L891" s="9" t="str">
        <x:v>No</x:v>
      </x:c>
      <x:c r="M891" s="9" t="str">
        <x:v>DVD trivia board game</x:v>
      </x:c>
      <x:c r="N891" s="9" t="str">
        <x:v>Live-action</x:v>
      </x:c>
      <x:c r="O891" s="9" t="n">
        <x:v>6</x:v>
      </x:c>
      <x:c r="P891" s="9" t="str">
        <x:v>Game show / trivia</x:v>
      </x:c>
      <x:c r="Q891" s="9" t="str">
        <x:v>Released</x:v>
      </x:c>
      <x:c r="R891" s="9" t="str">
        <x:v>Original production (Screenlife, Seattle), licensed film clips</x:v>
      </x:c>
      <x:c r="S891" s="9" t="str">
        <x:v>Xbox 360 (Scene It? Lights, Camera, Action, 2007, a separate game); mobile</x:v>
      </x:c>
      <x:c r="T891" s="9" t="str">
        <x:v>Clips from licensed Hollywood films; no host</x:v>
      </x:c>
      <x:c r="U891" s="9" t="n">
        <x:v>1</x:v>
      </x:c>
      <x:c r="V891" s="9" t="str">
        <x:v>No</x:v>
      </x:c>
      <x:c r="W891" s="9" t="str">
        <x:v>Any DVD player (remote); board, category die, trivia cards, buzz cards</x:v>
      </x:c>
      <x:c r="X891" s="9" t="str">
        <x:v>HIGH</x:v>
      </x:c>
      <x:c r="Y891" s="9" t="str">
        <x:v>Every My Play/All Play question is a licensed movie clip from a major studio</x:v>
      </x:c>
      <x:c r="Z891" s="9" t="str">
        <x:v>45–60 min per game</x:v>
      </x:c>
      <x:c r="AA891" s="9" t="str">
        <x:v>The disc that turned the living-room DVD player into a game show and launched a decade of licensed spin-offs.</x:v>
      </x:c>
      <x:c r="AB891" s="9" t="str">
        <x:v>None known</x:v>
      </x:c>
      <x:c r="AC891" s="9" t="str">
        <x:v>NTSC 480i MPEG-2, film clips in full screen with graphic overlays (verify)</x:v>
      </x:c>
      <x:c r="AD891" s="9" t="str">
        <x:v>Depends on the table's film knowledge; Final Cut endgame tightens as it goes</x:v>
      </x:c>
      <x:c r="AE891" s="9" t="str">
        <x:v>None; first player through the All Play to Win round wins</x:v>
      </x:c>
      <x:c r="AF891" s="9" t="str">
        <x:v>Screenlife was founded in 2001 by Craig Kinzer and David Long; its Optreve technology reshuffles the DVD's questions on each insertion so games don't repeat.</x:v>
      </x:c>
      <x:c r="AG891" s="9" t="str">
        <x:v>Movie 2nd Edition / Sequel; Deluxe Movie Edition; Junior, TV, Music, 80s, ESPN Sports, Squabble, Comedy Movies; licensed: Harry Potter, Disney (2004), Pirates of the Caribbean, The Simpsons (2009), Seinfeld, Star Trek, Doctor Who, Friends, Marvel, Twilight, Glee, James Bond, Turner Classic Movies; game packs incl. Family Guy, HBO, The O.C.; To Go! travel editions; 2022 streaming revival hosted by Mario Lopez</x:v>
      </x:c>
      <x:c r="AH891" s="9" t="str">
        <x:v>No</x:v>
      </x:c>
      <x:c r="AI891" s="9" t="str">
        <x:v>Easy</x:v>
      </x:c>
      <x:c r="AJ891" s="9" t="str">
        <x:v>Any DVD player (region 1/0 disc); the board and cards are needed too.</x:v>
      </x:c>
      <x:c r="AK891" s="9" t="str">
        <x:v>First Christmas 2002 run sold through Wizards of the Coast and Nordstrom, then went national via Mattel. Players without compatible DVD players pick from 20–25 preset games. Paramount bought Screenlife in 2008 and closed it in 2012. MobyGames lists only the mobile spin-off, no DVD Player entry found.</x:v>
      </x:c>
      <x:c r="AL891" s="10"/>
      <x:c r="AM891" s="10"/>
      <x:c r="AN891" s="10"/>
      <x:c r="AO891" s="9"/>
      <x:c r="AP891" s="11" t="str">
        <x:f>HYPERLINK("https://www.pricecharting.com/search-products?q=Scene+It%3F+dvd&amp;type=prices","PriceCharting")</x:f>
        <x:v>PriceCharting</x:v>
      </x:c>
      <x:c r="AQ891" s="9"/>
      <x:c r="AR891" s="9"/>
      <x:c r="AS891" s="9"/>
      <x:c r="AT891" s="9"/>
      <x:c r="AU891" s="9" t="str">
        <x:v>No market</x:v>
      </x:c>
      <x:c r="AV891" s="9" t="str">
        <x:v>PriceCharting has no DVD game listings and no other price guide tracks these discs.</x:v>
      </x:c>
      <x:c r="AW891" s="9"/>
      <x:c r="AX891" s="9"/>
      <x:c r="AY891" s="9"/>
      <x:c r="AZ891" s="9"/>
      <x:c r="BA891" s="11" t="str">
        <x:f>HYPERLINK("https://www.mobygames.com/search/?q=Scene+It%3F","MobyGames")</x:f>
        <x:v>MobyGames</x:v>
      </x:c>
      <x:c r="BB891" s="9" t="str"/>
      <x:c r="BC891" s="9" t="str"/>
      <x:c r="BD891" s="9"/>
      <x:c r="BE891" s="11" t="str">
        <x:f>HYPERLINK("https://en.wikipedia.org/wiki/Scene_It%3F","Wikipedia")</x:f>
        <x:v>Wikipedia</x:v>
      </x:c>
      <x:c r="BF891" s="11" t="str">
        <x:f>HYPERLINK("https://backloggd.com/search/games/Scene%20It%3F/","Backloggd")</x:f>
        <x:v>Backloggd</x:v>
      </x:c>
      <x:c r="BG891" s="9"/>
      <x:c r="BH891" s="9"/>
      <x:c r="BI891" s="12" t="str">
        <x:v>No</x:v>
      </x:c>
      <x:c r="BJ891" s="12" t="str"/>
      <x:c r="BK891" s="12" t="str">
        <x:v>No</x:v>
      </x:c>
      <x:c r="BL891" s="12" t="str"/>
      <x:c r="BM891" s="12" t="str"/>
      <x:c r="BN891" s="12" t="str"/>
      <x:c r="BO891" s="12" t="str"/>
      <x:c r="BP891" s="12" t="str"/>
      <x:c r="BQ891" s="12" t="str"/>
    </x:row>
    <x:row r="892">
      <x:c r="A892" s="9" t="str">
        <x:v>dvd-17</x:v>
      </x:c>
      <x:c r="B892" s="9" t="str">
        <x:v>atmosfear-the-gatekeeper</x:v>
      </x:c>
      <x:c r="C892" s="9" t="str">
        <x:v>DVD</x:v>
      </x:c>
      <x:c r="D892" s="9" t="str">
        <x:v>Atmosfear: The Gatekeeper</x:v>
      </x:c>
      <x:c r="E892" s="9" t="str">
        <x:v>Atmosfear: The DVD Board Game; Atmosfear DVD</x:v>
      </x:c>
      <x:c r="F892" s="9" t="str">
        <x:v>A Couple 'A Cowboys / Flying Bark Productions (designers Brett Clements, Phillip Tanner)</x:v>
      </x:c>
      <x:c r="G892" s="9" t="str">
        <x:v>Flying Bark Productions / A Couple 'A Cowboys (AU); regional toy distributors elsewhere (verify US/UK publisher)</x:v>
      </x:c>
      <x:c r="H892" s="9" t="n">
        <x:v>2004</x:v>
      </x:c>
      <x:c r="I892" s="9" t="str">
        <x:v>Yes</x:v>
      </x:c>
      <x:c r="J892" s="9" t="str">
        <x:v>No</x:v>
      </x:c>
      <x:c r="K892" s="9" t="str">
        <x:v>Yes</x:v>
      </x:c>
      <x:c r="L892" s="9" t="str">
        <x:v>No</x:v>
      </x:c>
      <x:c r="M892" s="9" t="str">
        <x:v>DVD horror board game</x:v>
      </x:c>
      <x:c r="N892" s="9" t="str">
        <x:v>Live-action</x:v>
      </x:c>
      <x:c r="O892" s="9" t="n">
        <x:v>7</x:v>
      </x:c>
      <x:c r="P892" s="9" t="str">
        <x:v>Game show / trivia</x:v>
      </x:c>
      <x:c r="Q892" s="9" t="str">
        <x:v>Released</x:v>
      </x:c>
      <x:c r="R892" s="9" t="str">
        <x:v>DVD remake of the Nightmare / Atmosfear VHS board game (1991)</x:v>
      </x:c>
      <x:c r="S892" s="9" t="str">
        <x:v>Nightmare/Atmosfear VHS series (1991–96); Atmosfear: The Third Dimension (Windows CD-ROM, 1995); 2019 app version</x:v>
      </x:c>
      <x:c r="T892" s="9" t="str">
        <x:v>David Whitney (The Gatekeeper)</x:v>
      </x:c>
      <x:c r="U892" s="9" t="n">
        <x:v>1</x:v>
      </x:c>
      <x:c r="V892" s="9" t="str">
        <x:v>No</x:v>
      </x:c>
      <x:c r="W892" s="9" t="str">
        <x:v>Any DVD player (remote); board, keys, dice, Well of Fears, Fate and Time cards; 5.1 surround recommended</x:v>
      </x:c>
      <x:c r="X892" s="9" t="str">
        <x:v>Low</x:v>
      </x:c>
      <x:c r="Y892" s="9" t="str">
        <x:v>Original production; no licensed music</x:v>
      </x:c>
      <x:c r="Z892" s="9" t="str">
        <x:v>Up to 49 min (the Gatekeeper's countdown)</x:v>
      </x:c>
      <x:c r="AA892" s="9" t="str">
        <x:v>A cackling live-action Gatekeeper berates the players in real time while a 49-minute clock runs down.</x:v>
      </x:c>
      <x:c r="AB892" s="9" t="str">
        <x:v>None known</x:v>
      </x:c>
      <x:c r="AC892" s="9" t="str">
        <x:v>PAL/NTSC 480i MPEG-2, live-action Gatekeeper over a running countdown, 5.1 audio (verify)</x:v>
      </x:c>
      <x:c r="AD892" s="9" t="str">
        <x:v>Chaotic; the Gatekeeper wins if nobody finishes before the clock runs out</x:v>
      </x:c>
      <x:c r="AE892" s="9" t="str">
        <x:v>A player wins by drawing their own fear from the Well of Fears, else the Gatekeeper wins</x:v>
      </x:c>
      <x:c r="AF892" s="9" t="str">
        <x:v>Random programming draws on more than 300 Gatekeeper storylines and responses so no two games play alike; Stop and Pause are disabled once the countdown starts.</x:v>
      </x:c>
      <x:c r="AG892" s="9" t="str">
        <x:v>Khufu the Mummy (2006 DVD sequel); 20th-anniversary reissue (2010); 2019 app edition with Jacek Koman as the Gatekeeper; 30th Anniversary Kickstarter (2021)</x:v>
      </x:c>
      <x:c r="AH892" s="9" t="str">
        <x:v>No</x:v>
      </x:c>
      <x:c r="AI892" s="9" t="str">
        <x:v>Easy</x:v>
      </x:c>
      <x:c r="AJ892" s="9" t="str">
        <x:v>Any DVD player with the board; region and PAL/NTSC versions vary by country (verify region coding).</x:v>
      </x:c>
      <x:c r="AK892" s="9" t="str">
        <x:v>Released 8 July 2004 in Australia. Sold 60,000 in six months and about 600,000 worldwide. The VHS originals predate DVD and are not in scope.</x:v>
      </x:c>
      <x:c r="AL892" s="10"/>
      <x:c r="AM892" s="10"/>
      <x:c r="AN892" s="10"/>
      <x:c r="AO892" s="9"/>
      <x:c r="AP892" s="11" t="str">
        <x:f>HYPERLINK("https://www.pricecharting.com/search-products?q=Atmosfear%3A+The+Gatekeeper+dvd&amp;type=prices","PriceCharting")</x:f>
        <x:v>PriceCharting</x:v>
      </x:c>
      <x:c r="AQ892" s="9"/>
      <x:c r="AR892" s="9"/>
      <x:c r="AS892" s="9"/>
      <x:c r="AT892" s="9"/>
      <x:c r="AU892" s="9" t="str">
        <x:v>No market</x:v>
      </x:c>
      <x:c r="AV892" s="9" t="str">
        <x:v>PriceCharting has no DVD game listings and no other price guide tracks these discs.</x:v>
      </x:c>
      <x:c r="AW892" s="9"/>
      <x:c r="AX892" s="9"/>
      <x:c r="AY892" s="9"/>
      <x:c r="AZ892" s="9"/>
      <x:c r="BA892" s="11" t="str">
        <x:f>HYPERLINK("https://www.mobygames.com/search/?q=Atmosfear%3A+The+Gatekeeper","MobyGames")</x:f>
        <x:v>MobyGames</x:v>
      </x:c>
      <x:c r="BB892" s="9" t="str"/>
      <x:c r="BC892" s="9" t="str"/>
      <x:c r="BD892" s="9"/>
      <x:c r="BE892" s="11" t="str">
        <x:f>HYPERLINK("https://en.wikipedia.org/wiki/Atmosfear:_The_Gatekeeper","Wikipedia")</x:f>
        <x:v>Wikipedia</x:v>
      </x:c>
      <x:c r="BF892" s="11" t="str">
        <x:f>HYPERLINK("https://backloggd.com/search/games/Atmosfear%3A%20The%20Gatekeeper/","Backloggd")</x:f>
        <x:v>Backloggd</x:v>
      </x:c>
      <x:c r="BG892" s="9"/>
      <x:c r="BH892" s="9"/>
      <x:c r="BI892" s="12" t="str">
        <x:v>No</x:v>
      </x:c>
      <x:c r="BJ892" s="12" t="str"/>
      <x:c r="BK892" s="12" t="str">
        <x:v>No</x:v>
      </x:c>
      <x:c r="BL892" s="12" t="str"/>
      <x:c r="BM892" s="12" t="str"/>
      <x:c r="BN892" s="12" t="str"/>
      <x:c r="BO892" s="12" t="str"/>
      <x:c r="BP892" s="12" t="str"/>
      <x:c r="BQ892" s="12" t="str"/>
    </x:row>
    <x:row r="893">
      <x:c r="A893" s="9" t="str">
        <x:v>dvd-18</x:v>
      </x:c>
      <x:c r="B893" s="9" t="str">
        <x:v>trivial-pursuit-dvd-pop-culture</x:v>
      </x:c>
      <x:c r="C893" s="9" t="str">
        <x:v>DVD</x:v>
      </x:c>
      <x:c r="D893" s="9" t="str">
        <x:v>Trivial Pursuit DVD Pop Culture</x:v>
      </x:c>
      <x:c r="E893" s="9" t="str">
        <x:v>Trivial Pursuit DVD Pop Culture Edition</x:v>
      </x:c>
      <x:c r="F893" s="9" t="str">
        <x:v>Hasbro / Parker Brothers (verify DVD developer)</x:v>
      </x:c>
      <x:c r="G893" s="9" t="str">
        <x:v>Hasbro / Parker Brothers</x:v>
      </x:c>
      <x:c r="H893" s="9" t="n">
        <x:v>2003</x:v>
      </x:c>
      <x:c r="I893" s="9" t="str">
        <x:v>Yes</x:v>
      </x:c>
      <x:c r="J893" s="9" t="str">
        <x:v>No</x:v>
      </x:c>
      <x:c r="K893" s="9" t="str">
        <x:v>Yes</x:v>
      </x:c>
      <x:c r="L893" s="9" t="str">
        <x:v>No</x:v>
      </x:c>
      <x:c r="M893" s="9" t="str">
        <x:v>DVD trivia board game</x:v>
      </x:c>
      <x:c r="N893" s="9" t="str">
        <x:v>Live-action</x:v>
      </x:c>
      <x:c r="O893" s="9" t="n">
        <x:v>4</x:v>
      </x:c>
      <x:c r="P893" s="9" t="str">
        <x:v>Game show / trivia</x:v>
      </x:c>
      <x:c r="Q893" s="9" t="str">
        <x:v>Released</x:v>
      </x:c>
      <x:c r="R893" s="9" t="str">
        <x:v>Licensed Trivial Pursuit with film, TV and music clips</x:v>
      </x:c>
      <x:c r="S893" s="9" t="str">
        <x:v>—</x:v>
      </x:c>
      <x:c r="T893" s="9" t="str">
        <x:v>Archive film/TV/music clips (verify)</x:v>
      </x:c>
      <x:c r="U893" s="9" t="n">
        <x:v>1</x:v>
      </x:c>
      <x:c r="V893" s="9" t="str">
        <x:v>No</x:v>
      </x:c>
      <x:c r="W893" s="9" t="str">
        <x:v>Any DVD player (remote); board, wedges, cards, die</x:v>
      </x:c>
      <x:c r="X893" s="9" t="str">
        <x:v>HIGH</x:v>
      </x:c>
      <x:c r="Y893" s="9" t="str">
        <x:v>Licensed TV, film and music clips</x:v>
      </x:c>
      <x:c r="Z893" s="9" t="str">
        <x:v>60–90 min</x:v>
      </x:c>
      <x:c r="AA893" s="9" t="str">
        <x:v>Trivial Pursuit's first DVD edition, swapping card questions for TV, film and music clips.</x:v>
      </x:c>
      <x:c r="AB893" s="9" t="str">
        <x:v>None known</x:v>
      </x:c>
      <x:c r="AC893" s="9" t="str">
        <x:v>NTSC 480i MPEG-2, full screen (verify)</x:v>
      </x:c>
      <x:c r="AD893" s="9" t="str">
        <x:v>Pop-culture questions from the 1960s onward</x:v>
      </x:c>
      <x:c r="AE893" s="9" t="str">
        <x:v>None; standard Trivial Pursuit win condition</x:v>
      </x:c>
      <x:c r="AF893" s="9" t="str">
        <x:v>Followed Scene It? by about a year; Hasbro spun DVD editions off for The Lord of the Rings and Star Wars.</x:v>
      </x:c>
      <x:c r="AG893" s="9" t="str">
        <x:v>Pop Culture 2 DVD (verify year); The Lord of the Rings Trilogy DVD (2004); Star Wars Saga Edition DVD (2005); Toys R Us tin edition</x:v>
      </x:c>
      <x:c r="AH893" s="9" t="str">
        <x:v>No</x:v>
      </x:c>
      <x:c r="AI893" s="9" t="str">
        <x:v>Easy</x:v>
      </x:c>
      <x:c r="AJ893" s="9" t="str">
        <x:v>Any DVD player (region 1/0 disc); the board and cards are needed too.</x:v>
      </x:c>
      <x:c r="AK893" s="9" t="str">
        <x:v>Year 2003 from listings ('2003 Hasbro'); verify exact release. WebFetch budget ran out mid-batch; later fields come from search-result titles and memory, marked (verify).</x:v>
      </x:c>
      <x:c r="AL893" s="10"/>
      <x:c r="AM893" s="10"/>
      <x:c r="AN893" s="10"/>
      <x:c r="AO893" s="9"/>
      <x:c r="AP893" s="11" t="str">
        <x:f>HYPERLINK("https://www.pricecharting.com/search-products?q=Trivial+Pursuit+DVD+Pop+Culture+dvd&amp;type=prices","PriceCharting")</x:f>
        <x:v>PriceCharting</x:v>
      </x:c>
      <x:c r="AQ893" s="9"/>
      <x:c r="AR893" s="9"/>
      <x:c r="AS893" s="9"/>
      <x:c r="AT893" s="9"/>
      <x:c r="AU893" s="9" t="str">
        <x:v>No market</x:v>
      </x:c>
      <x:c r="AV893" s="9" t="str">
        <x:v>PriceCharting has no DVD game listings and no other price guide tracks these discs.</x:v>
      </x:c>
      <x:c r="AW893" s="9"/>
      <x:c r="AX893" s="9"/>
      <x:c r="AY893" s="9"/>
      <x:c r="AZ893" s="9"/>
      <x:c r="BA893" s="11" t="str">
        <x:f>HYPERLINK("https://www.mobygames.com/search/?q=Trivial+Pursuit+DVD+Pop+Culture","MobyGames")</x:f>
        <x:v>MobyGames</x:v>
      </x:c>
      <x:c r="BB893" s="9" t="str"/>
      <x:c r="BC893" s="9" t="str"/>
      <x:c r="BD893" s="9"/>
      <x:c r="BE893" s="9"/>
      <x:c r="BF893" s="11" t="str">
        <x:f>HYPERLINK("https://backloggd.com/search/games/Trivial%20Pursuit%20DVD%20Pop%20Culture/","Backloggd")</x:f>
        <x:v>Backloggd</x:v>
      </x:c>
      <x:c r="BG893" s="9"/>
      <x:c r="BH893" s="9"/>
      <x:c r="BI893" s="12" t="str">
        <x:v>No</x:v>
      </x:c>
      <x:c r="BJ893" s="12" t="str"/>
      <x:c r="BK893" s="12" t="str">
        <x:v>No</x:v>
      </x:c>
      <x:c r="BL893" s="12" t="str"/>
      <x:c r="BM893" s="12" t="str"/>
      <x:c r="BN893" s="12" t="str"/>
      <x:c r="BO893" s="12" t="str"/>
      <x:c r="BP893" s="12" t="str"/>
      <x:c r="BQ893" s="12" t="str"/>
    </x:row>
    <x:row r="894">
      <x:c r="A894" s="9" t="str">
        <x:v>dvd-19</x:v>
      </x:c>
      <x:c r="B894" s="9" t="str">
        <x:v>clue-dvd-game</x:v>
      </x:c>
      <x:c r="C894" s="9" t="str">
        <x:v>DVD</x:v>
      </x:c>
      <x:c r="D894" s="9" t="str">
        <x:v>Clue DVD Game</x:v>
      </x:c>
      <x:c r="E894" s="9" t="str">
        <x:v>Cluedo DVD Game (UK); Clue: The DVD Game</x:v>
      </x:c>
      <x:c r="F894" s="9" t="str">
        <x:v>Hasbro (designer Rob Daviau)</x:v>
      </x:c>
      <x:c r="G894" s="9" t="str">
        <x:v>Parker Brothers (NA), Hasbro/Waddingtons (UK)</x:v>
      </x:c>
      <x:c r="H894" s="9" t="n">
        <x:v>2005</x:v>
      </x:c>
      <x:c r="I894" s="9" t="str">
        <x:v>Yes</x:v>
      </x:c>
      <x:c r="J894" s="9" t="str">
        <x:v>No</x:v>
      </x:c>
      <x:c r="K894" s="9" t="str">
        <x:v>Yes</x:v>
      </x:c>
      <x:c r="L894" s="9" t="str">
        <x:v>No</x:v>
      </x:c>
      <x:c r="M894" s="9" t="str">
        <x:v>DVD deduction board game</x:v>
      </x:c>
      <x:c r="N894" s="9" t="str">
        <x:v>Live-action + CG</x:v>
      </x:c>
      <x:c r="O894" s="9" t="n">
        <x:v>4</x:v>
      </x:c>
      <x:c r="P894" s="9" t="str">
        <x:v>Game show / trivia</x:v>
      </x:c>
      <x:c r="Q894" s="9" t="str">
        <x:v>Released</x:v>
      </x:c>
      <x:c r="R894" s="9" t="str">
        <x:v>Licensed Clue/Cluedo; successor to the Clue VCR Mystery Game (1985)</x:v>
      </x:c>
      <x:c r="S894" s="9" t="str"/>
      <x:c r="T894" s="9" t="str">
        <x:v>Inspector Brown and Ashe the Butler on video (actors uncredited, verify)</x:v>
      </x:c>
      <x:c r="U894" s="9" t="n">
        <x:v>1</x:v>
      </x:c>
      <x:c r="V894" s="9" t="str">
        <x:v>No</x:v>
      </x:c>
      <x:c r="W894" s="9" t="str">
        <x:v>Any DVD player (remote); board, cards, Red Reader decoder</x:v>
      </x:c>
      <x:c r="X894" s="9" t="str">
        <x:v>Low</x:v>
      </x:c>
      <x:c r="Y894" s="9" t="str">
        <x:v>Hasbro original production</x:v>
      </x:c>
      <x:c r="Z894" s="9" t="str">
        <x:v>About 60 min per case</x:v>
      </x:c>
      <x:c r="AA894" s="9" t="str">
        <x:v>Clue rebuilt around a DVD that hides the solution, unlocks secret passages and sends the butler in with clues.</x:v>
      </x:c>
      <x:c r="AB894" s="9" t="str">
        <x:v>None known</x:v>
      </x:c>
      <x:c r="AC894" s="9" t="str">
        <x:v>NTSC 480i MPEG-2, full screen (verify)</x:v>
      </x:c>
      <x:c r="AD894" s="9" t="str">
        <x:v>Real deduction; ten cases plus a general case</x:v>
      </x:c>
      <x:c r="AE894" s="9" t="str">
        <x:v>10 preset cases plus a random general case; accusations checked by the DVD</x:v>
      </x:c>
      <x:c r="AF894" s="9" t="str">
        <x:v>The disc holds encrypted files for two cases never released, Christmas at the Mansion and A Dark and Stormy Night.</x:v>
      </x:c>
      <x:c r="AG894" s="9" t="str">
        <x:v>UK Cluedo DVD Game (Oct 2005), French edition, US Clue DVD Game (2006)</x:v>
      </x:c>
      <x:c r="AH894" s="9" t="str">
        <x:v>No</x:v>
      </x:c>
      <x:c r="AI894" s="9" t="str">
        <x:v>Easy</x:v>
      </x:c>
      <x:c r="AJ894" s="9" t="str">
        <x:v>Any DVD player (region 1/0 disc); the board and cards are needed too.</x:v>
      </x:c>
      <x:c r="AK894" s="9" t="str">
        <x:v>First release UK October 2005, US 2006. Tom Vasel called it 'the definitive form of Clue'; critics knocked the animation. Whether the video is live-action or animated is unconfirmed; set to Live-action + CG (verify). Different product from the CD-ROM Clue games (cluedo, clue-the-mysteries-continue).</x:v>
      </x:c>
      <x:c r="AL894" s="10"/>
      <x:c r="AM894" s="10"/>
      <x:c r="AN894" s="10"/>
      <x:c r="AO894" s="9"/>
      <x:c r="AP894" s="11" t="str">
        <x:f>HYPERLINK("https://www.pricecharting.com/search-products?q=Clue+DVD+Game+dvd&amp;type=prices","PriceCharting")</x:f>
        <x:v>PriceCharting</x:v>
      </x:c>
      <x:c r="AQ894" s="9"/>
      <x:c r="AR894" s="9"/>
      <x:c r="AS894" s="9"/>
      <x:c r="AT894" s="9"/>
      <x:c r="AU894" s="9" t="str">
        <x:v>No market</x:v>
      </x:c>
      <x:c r="AV894" s="9" t="str">
        <x:v>PriceCharting has no DVD game listings and no other price guide tracks these discs.</x:v>
      </x:c>
      <x:c r="AW894" s="9"/>
      <x:c r="AX894" s="9"/>
      <x:c r="AY894" s="9"/>
      <x:c r="AZ894" s="9"/>
      <x:c r="BA894" s="11" t="str">
        <x:f>HYPERLINK("https://www.mobygames.com/search/?q=Clue+DVD+Game","MobyGames")</x:f>
        <x:v>MobyGames</x:v>
      </x:c>
      <x:c r="BB894" s="9" t="str"/>
      <x:c r="BC894" s="9" t="str"/>
      <x:c r="BD894" s="9"/>
      <x:c r="BE894" s="11" t="str">
        <x:f>HYPERLINK("https://en.wikipedia.org/wiki/Cluedo_DVD_Game","Wikipedia")</x:f>
        <x:v>Wikipedia</x:v>
      </x:c>
      <x:c r="BF894" s="11" t="str">
        <x:f>HYPERLINK("https://backloggd.com/search/games/Clue%20DVD%20Game/","Backloggd")</x:f>
        <x:v>Backloggd</x:v>
      </x:c>
      <x:c r="BG894" s="9"/>
      <x:c r="BH894" s="9"/>
      <x:c r="BI894" s="12" t="str">
        <x:v>No</x:v>
      </x:c>
      <x:c r="BJ894" s="12" t="str"/>
      <x:c r="BK894" s="12" t="str">
        <x:v>No</x:v>
      </x:c>
      <x:c r="BL894" s="12" t="str"/>
      <x:c r="BM894" s="12" t="str"/>
      <x:c r="BN894" s="12" t="str"/>
      <x:c r="BO894" s="12" t="str"/>
      <x:c r="BP894" s="12" t="str"/>
      <x:c r="BQ894" s="12" t="str"/>
    </x:row>
    <x:row r="895">
      <x:c r="A895" s="9" t="str">
        <x:v>dvd-20</x:v>
      </x:c>
      <x:c r="B895" s="9" t="str">
        <x:v>monopoly-tropical-tycoon-dvd</x:v>
      </x:c>
      <x:c r="C895" s="9" t="str">
        <x:v>DVD</x:v>
      </x:c>
      <x:c r="D895" s="9" t="str">
        <x:v>Monopoly Tropical Tycoon DVD Game</x:v>
      </x:c>
      <x:c r="E895" s="9" t="str"/>
      <x:c r="F895" s="9" t="str">
        <x:v>Hasbro (verify)</x:v>
      </x:c>
      <x:c r="G895" s="9" t="str">
        <x:v>Parker Brothers (Hasbro)</x:v>
      </x:c>
      <x:c r="H895" s="9" t="n">
        <x:v>2007</x:v>
      </x:c>
      <x:c r="I895" s="9" t="str">
        <x:v>Yes</x:v>
      </x:c>
      <x:c r="J895" s="9" t="str">
        <x:v>No</x:v>
      </x:c>
      <x:c r="K895" s="9" t="str">
        <x:v>Yes</x:v>
      </x:c>
      <x:c r="L895" s="9" t="str">
        <x:v>No</x:v>
      </x:c>
      <x:c r="M895" s="9" t="str">
        <x:v>DVD board game</x:v>
      </x:c>
      <x:c r="N895" s="9" t="str">
        <x:v>Live-action + CG</x:v>
      </x:c>
      <x:c r="O895" s="9" t="n">
        <x:v>3</x:v>
      </x:c>
      <x:c r="P895" s="9" t="str">
        <x:v>Game show / trivia</x:v>
      </x:c>
      <x:c r="Q895" s="9" t="str">
        <x:v>Released</x:v>
      </x:c>
      <x:c r="R895" s="9" t="str">
        <x:v>Licensed Monopoly variant</x:v>
      </x:c>
      <x:c r="S895" s="9" t="str"/>
      <x:c r="T895" s="9" t="str">
        <x:v>—</x:v>
      </x:c>
      <x:c r="U895" s="9" t="n">
        <x:v>1</x:v>
      </x:c>
      <x:c r="V895" s="9" t="str">
        <x:v>No</x:v>
      </x:c>
      <x:c r="W895" s="9" t="str">
        <x:v>Any DVD player (remote); board, tokens, fortune tokens</x:v>
      </x:c>
      <x:c r="X895" s="9" t="str">
        <x:v>Low</x:v>
      </x:c>
      <x:c r="Y895" s="9" t="str"/>
      <x:c r="Z895" s="9" t="str">
        <x:v>60–90 min</x:v>
      </x:c>
      <x:c r="AA895" s="9" t="str">
        <x:v>The only DVD Monopoly: the disc deals out Chance, Community Chest and news flashes on a tropical island.</x:v>
      </x:c>
      <x:c r="AB895" s="9" t="str">
        <x:v>None known</x:v>
      </x:c>
      <x:c r="AC895" s="9" t="str">
        <x:v>NTSC 480i MPEG-2, full screen (verify)</x:v>
      </x:c>
      <x:c r="AD895" s="9" t="str">
        <x:v>Standard Monopoly negotiation with character perks</x:v>
      </x:c>
      <x:c r="AE895" s="9" t="str">
        <x:v>None; win by collecting fortune tokens</x:v>
      </x:c>
      <x:c r="AF895" s="9" t="str">
        <x:v>Players build casinos, piers and resorts and take roles such as mayor, police chief and surfer, each with perks.</x:v>
      </x:c>
      <x:c r="AG895" s="9" t="str">
        <x:v>German 'Monopoly Trauminsel DVD'</x:v>
      </x:c>
      <x:c r="AH895" s="9" t="str">
        <x:v>No</x:v>
      </x:c>
      <x:c r="AI895" s="9" t="str">
        <x:v>Easy</x:v>
      </x:c>
      <x:c r="AJ895" s="9" t="str">
        <x:v>Any DVD player (region 1/0 disc); the board and cards are needed too.</x:v>
      </x:c>
      <x:c r="AK895" s="9" t="str">
        <x:v>The DVD only hands out cards and events; video is a minor part of play (verify how much is live-action). Borderline for scope; kept as the one Monopoly DVD. WebFetch budget ran out mid-batch; later fields come from search-result titles and memory, marked (verify).</x:v>
      </x:c>
      <x:c r="AL895" s="10"/>
      <x:c r="AM895" s="10"/>
      <x:c r="AN895" s="10"/>
      <x:c r="AO895" s="9"/>
      <x:c r="AP895" s="11" t="str">
        <x:f>HYPERLINK("https://www.pricecharting.com/search-products?q=Monopoly+Tropical+Tycoon+DVD+Game+dvd&amp;type=prices","PriceCharting")</x:f>
        <x:v>PriceCharting</x:v>
      </x:c>
      <x:c r="AQ895" s="9"/>
      <x:c r="AR895" s="9"/>
      <x:c r="AS895" s="9"/>
      <x:c r="AT895" s="9"/>
      <x:c r="AU895" s="9" t="str">
        <x:v>No market</x:v>
      </x:c>
      <x:c r="AV895" s="9" t="str">
        <x:v>PriceCharting has no DVD game listings and no other price guide tracks these discs.</x:v>
      </x:c>
      <x:c r="AW895" s="9"/>
      <x:c r="AX895" s="9"/>
      <x:c r="AY895" s="9"/>
      <x:c r="AZ895" s="9"/>
      <x:c r="BA895" s="11" t="str">
        <x:f>HYPERLINK("https://www.mobygames.com/search/?q=Monopoly+Tropical+Tycoon+DVD+Game","MobyGames")</x:f>
        <x:v>MobyGames</x:v>
      </x:c>
      <x:c r="BB895" s="9" t="str"/>
      <x:c r="BC895" s="9" t="str"/>
      <x:c r="BD895" s="9"/>
      <x:c r="BE895" s="9"/>
      <x:c r="BF895" s="11" t="str">
        <x:f>HYPERLINK("https://backloggd.com/search/games/Monopoly%20Tropical%20Tycoon%20DVD%20Game/","Backloggd")</x:f>
        <x:v>Backloggd</x:v>
      </x:c>
      <x:c r="BG895" s="9"/>
      <x:c r="BH895" s="9"/>
      <x:c r="BI895" s="12" t="str">
        <x:v>No</x:v>
      </x:c>
      <x:c r="BJ895" s="12" t="str"/>
      <x:c r="BK895" s="12" t="str">
        <x:v>No</x:v>
      </x:c>
      <x:c r="BL895" s="12" t="str"/>
      <x:c r="BM895" s="12" t="str"/>
      <x:c r="BN895" s="12" t="str"/>
      <x:c r="BO895" s="12" t="str"/>
      <x:c r="BP895" s="12" t="str"/>
      <x:c r="BQ895" s="12" t="str"/>
    </x:row>
    <x:row r="896">
      <x:c r="A896" s="9" t="str">
        <x:v>dvd-21</x:v>
      </x:c>
      <x:c r="B896" s="9" t="str">
        <x:v>deal-or-no-deal-dvd</x:v>
      </x:c>
      <x:c r="C896" s="9" t="str">
        <x:v>DVD</x:v>
      </x:c>
      <x:c r="D896" s="9" t="str">
        <x:v>Deal or No Deal: The Interactive DVD Game Show</x:v>
      </x:c>
      <x:c r="E896" s="9" t="str"/>
      <x:c r="F896" s="9" t="str">
        <x:v>Imagination Entertainment</x:v>
      </x:c>
      <x:c r="G896" s="9" t="str">
        <x:v>Imagination Games (NBC licence)</x:v>
      </x:c>
      <x:c r="H896" s="9" t="n">
        <x:v>2006</x:v>
      </x:c>
      <x:c r="I896" s="9" t="str">
        <x:v>Yes</x:v>
      </x:c>
      <x:c r="J896" s="9" t="str">
        <x:v>No</x:v>
      </x:c>
      <x:c r="K896" s="9" t="str">
        <x:v>No</x:v>
      </x:c>
      <x:c r="L896" s="9" t="str">
        <x:v>No</x:v>
      </x:c>
      <x:c r="M896" s="9" t="str">
        <x:v>DVD game show</x:v>
      </x:c>
      <x:c r="N896" s="9" t="str">
        <x:v>Live-action</x:v>
      </x:c>
      <x:c r="O896" s="9" t="n">
        <x:v>7</x:v>
      </x:c>
      <x:c r="P896" s="9" t="str">
        <x:v>Game show / trivia</x:v>
      </x:c>
      <x:c r="Q896" s="9" t="str">
        <x:v>Released</x:v>
      </x:c>
      <x:c r="R896" s="9" t="str">
        <x:v>Licensed: Deal or No Deal (NBC)</x:v>
      </x:c>
      <x:c r="S896" s="9" t="str"/>
      <x:c r="T896" s="9" t="str">
        <x:v>Howie Mandel (host)</x:v>
      </x:c>
      <x:c r="U896" s="9" t="n">
        <x:v>1</x:v>
      </x:c>
      <x:c r="V896" s="9" t="str">
        <x:v>No</x:v>
      </x:c>
      <x:c r="W896" s="9" t="str">
        <x:v>Any DVD player (remote)</x:v>
      </x:c>
      <x:c r="X896" s="9" t="str">
        <x:v>Med</x:v>
      </x:c>
      <x:c r="Y896" s="9" t="str">
        <x:v>Show theme music and host footage (Endemol/NBC)</x:v>
      </x:c>
      <x:c r="Z896" s="9" t="str">
        <x:v>15–20 min per game</x:v>
      </x:c>
      <x:c r="AA896" s="9" t="str">
        <x:v>Howie Mandel and the Banker in your living room, 26 briefcases chosen with the remote.</x:v>
      </x:c>
      <x:c r="AB896" s="9" t="str">
        <x:v>None known</x:v>
      </x:c>
      <x:c r="AC896" s="9" t="str">
        <x:v>NTSC 480i MPEG-2, 1.33:1 full screen; region 0/1</x:v>
      </x:c>
      <x:c r="AD896" s="9" t="str">
        <x:v>Pure luck</x:v>
      </x:c>
      <x:c r="AE896" s="9" t="str">
        <x:v>Deal or open your own case; payout varies</x:v>
      </x:c>
      <x:c r="AF896" s="9" t="str">
        <x:v>The library record notes 'Some DVD players may not be compatible', a common warning on branching DVD games.</x:v>
      </x:c>
      <x:c r="AG896" s="9" t="str">
        <x:v>Updated two-player edition; 3-pack with Family Feud and Millionaire DVDs</x:v>
      </x:c>
      <x:c r="AH896" s="9" t="str">
        <x:v>No</x:v>
      </x:c>
      <x:c r="AI896" s="9" t="str">
        <x:v>Easy</x:v>
      </x:c>
      <x:c r="AJ896" s="9" t="str">
        <x:v>Any DVD player (region 1/0 disc); the board and cards are needed too.</x:v>
      </x:c>
      <x:c r="AK896" s="9" t="str">
        <x:v>Region 0/1, 1.33:1 per library catalogue record. Different product from the console Deal or No Deal games.</x:v>
      </x:c>
      <x:c r="AL896" s="10"/>
      <x:c r="AM896" s="10"/>
      <x:c r="AN896" s="10"/>
      <x:c r="AO896" s="9"/>
      <x:c r="AP896" s="11" t="str">
        <x:f>HYPERLINK("https://www.pricecharting.com/search-products?q=Deal+or+No+Deal%3A+The+Interactive+DVD+Game+Show+dvd&amp;type=prices","PriceCharting")</x:f>
        <x:v>PriceCharting</x:v>
      </x:c>
      <x:c r="AQ896" s="9"/>
      <x:c r="AR896" s="9"/>
      <x:c r="AS896" s="9"/>
      <x:c r="AT896" s="9"/>
      <x:c r="AU896" s="9" t="str">
        <x:v>No market</x:v>
      </x:c>
      <x:c r="AV896" s="9" t="str">
        <x:v>PriceCharting has no DVD game listings and no other price guide tracks these discs.</x:v>
      </x:c>
      <x:c r="AW896" s="9"/>
      <x:c r="AX896" s="9"/>
      <x:c r="AY896" s="9"/>
      <x:c r="AZ896" s="9"/>
      <x:c r="BA896" s="11" t="str">
        <x:f>HYPERLINK("https://www.mobygames.com/search/?q=Deal+or+No+Deal%3A+The+Interactive+DVD+Game+Show","MobyGames")</x:f>
        <x:v>MobyGames</x:v>
      </x:c>
      <x:c r="BB896" s="9" t="str"/>
      <x:c r="BC896" s="9" t="str"/>
      <x:c r="BD896" s="9"/>
      <x:c r="BE896" s="9"/>
      <x:c r="BF896" s="11" t="str">
        <x:f>HYPERLINK("https://backloggd.com/search/games/Deal%20or%20No%20Deal%3A%20The%20Interactive%20DVD%20Game%20Show/","Backloggd")</x:f>
        <x:v>Backloggd</x:v>
      </x:c>
      <x:c r="BG896" s="9"/>
      <x:c r="BH896" s="9"/>
      <x:c r="BI896" s="12" t="str">
        <x:v>No</x:v>
      </x:c>
      <x:c r="BJ896" s="12" t="str"/>
      <x:c r="BK896" s="12" t="str">
        <x:v>No</x:v>
      </x:c>
      <x:c r="BL896" s="12" t="str"/>
      <x:c r="BM896" s="12" t="str"/>
      <x:c r="BN896" s="12" t="str"/>
      <x:c r="BO896" s="12" t="str"/>
      <x:c r="BP896" s="12" t="str"/>
      <x:c r="BQ896" s="12" t="str"/>
    </x:row>
    <x:row r="897">
      <x:c r="A897" s="9" t="str">
        <x:v>dvd-22</x:v>
      </x:c>
      <x:c r="B897" s="9" t="str">
        <x:v>who-wants-to-be-a-millionaire-dvd</x:v>
      </x:c>
      <x:c r="C897" s="9" t="str">
        <x:v>DVD</x:v>
      </x:c>
      <x:c r="D897" s="9" t="str">
        <x:v>Who Wants to Be a Millionaire: Interactive DVD Game</x:v>
      </x:c>
      <x:c r="E897" s="9" t="str"/>
      <x:c r="F897" s="9" t="str">
        <x:v>Imagination Entertainment (verify)</x:v>
      </x:c>
      <x:c r="G897" s="9" t="str">
        <x:v>Imagination Games (Disney/Valleycrest licence, verify)</x:v>
      </x:c>
      <x:c r="H897" s="9" t="n">
        <x:v>2007</x:v>
      </x:c>
      <x:c r="I897" s="9" t="str">
        <x:v>Yes</x:v>
      </x:c>
      <x:c r="J897" s="9" t="str">
        <x:v>No</x:v>
      </x:c>
      <x:c r="K897" s="9" t="str">
        <x:v>No</x:v>
      </x:c>
      <x:c r="L897" s="9" t="str">
        <x:v>No</x:v>
      </x:c>
      <x:c r="M897" s="9" t="str">
        <x:v>DVD game show</x:v>
      </x:c>
      <x:c r="N897" s="9" t="str">
        <x:v>Live-action</x:v>
      </x:c>
      <x:c r="O897" s="9" t="n">
        <x:v>7</x:v>
      </x:c>
      <x:c r="P897" s="9" t="str">
        <x:v>Game show / trivia</x:v>
      </x:c>
      <x:c r="Q897" s="9" t="str">
        <x:v>Released</x:v>
      </x:c>
      <x:c r="R897" s="9" t="str">
        <x:v>Licensed: Who Wants to Be a Millionaire (US syndicated)</x:v>
      </x:c>
      <x:c r="S897" s="9" t="str"/>
      <x:c r="T897" s="9" t="str">
        <x:v>Meredith Vieira (host)</x:v>
      </x:c>
      <x:c r="U897" s="9" t="n">
        <x:v>1</x:v>
      </x:c>
      <x:c r="V897" s="9" t="str">
        <x:v>No</x:v>
      </x:c>
      <x:c r="W897" s="9" t="str">
        <x:v>Any DVD player (remote)</x:v>
      </x:c>
      <x:c r="X897" s="9" t="str">
        <x:v>Med</x:v>
      </x:c>
      <x:c r="Y897" s="9" t="str">
        <x:v>Show theme and music cues</x:v>
      </x:c>
      <x:c r="Z897" s="9" t="str">
        <x:v>15–30 min</x:v>
      </x:c>
      <x:c r="AA897" s="9" t="str">
        <x:v>Meredith Vieira reads the questions and the remote locks in the final answer.</x:v>
      </x:c>
      <x:c r="AB897" s="9" t="str">
        <x:v>None known</x:v>
      </x:c>
      <x:c r="AC897" s="9" t="str">
        <x:v>NTSC 480i MPEG-2, full screen (verify)</x:v>
      </x:c>
      <x:c r="AD897" s="9" t="str">
        <x:v>Climbs from easy to hard over 15 questions</x:v>
      </x:c>
      <x:c r="AE897" s="9" t="str">
        <x:v>Walk away, miss, or win the million</x:v>
      </x:c>
      <x:c r="AF897" s="9" t="str">
        <x:v>Sold later in a three-pack with Imagination's Deal or No Deal and Family Feud DVDs.</x:v>
      </x:c>
      <x:c r="AG897" s="9" t="str">
        <x:v>3-pack with Deal or No Deal and Family Feud DVDs</x:v>
      </x:c>
      <x:c r="AH897" s="9" t="str">
        <x:v>No</x:v>
      </x:c>
      <x:c r="AI897" s="9" t="str">
        <x:v>Easy</x:v>
      </x:c>
      <x:c r="AJ897" s="9" t="str">
        <x:v>Any DVD player (region 1/0 disc); the board and cards are needed too.</x:v>
      </x:c>
      <x:c r="AK897" s="9" t="str">
        <x:v>Year 2007 from a dated listing; verify. Different product from the PC/console Millionaire games (who-wants-to-be-a-millionaire). WebFetch budget ran out mid-batch; later fields come from search-result titles and memory, marked (verify).</x:v>
      </x:c>
      <x:c r="AL897" s="10"/>
      <x:c r="AM897" s="10"/>
      <x:c r="AN897" s="10"/>
      <x:c r="AO897" s="9"/>
      <x:c r="AP897" s="11" t="str">
        <x:f>HYPERLINK("https://www.pricecharting.com/search-products?q=Who+Wants+to+Be+a+Millionaire%3A+Interactive+DVD+Game+dvd&amp;type=prices","PriceCharting")</x:f>
        <x:v>PriceCharting</x:v>
      </x:c>
      <x:c r="AQ897" s="9"/>
      <x:c r="AR897" s="9"/>
      <x:c r="AS897" s="9"/>
      <x:c r="AT897" s="9"/>
      <x:c r="AU897" s="9" t="str">
        <x:v>No market</x:v>
      </x:c>
      <x:c r="AV897" s="9" t="str">
        <x:v>PriceCharting has no DVD game listings and no other price guide tracks these discs.</x:v>
      </x:c>
      <x:c r="AW897" s="9"/>
      <x:c r="AX897" s="9"/>
      <x:c r="AY897" s="9"/>
      <x:c r="AZ897" s="9"/>
      <x:c r="BA897" s="11" t="str">
        <x:f>HYPERLINK("https://www.mobygames.com/search/?q=Who+Wants+to+Be+a+Millionaire%3A+Interactive+DVD+Game","MobyGames")</x:f>
        <x:v>MobyGames</x:v>
      </x:c>
      <x:c r="BB897" s="9" t="str"/>
      <x:c r="BC897" s="9" t="str"/>
      <x:c r="BD897" s="9"/>
      <x:c r="BE897" s="9"/>
      <x:c r="BF897" s="11" t="str">
        <x:f>HYPERLINK("https://backloggd.com/search/games/Who%20Wants%20to%20Be%20a%20Millionaire%3A%20Interactive%20DVD%20Game/","Backloggd")</x:f>
        <x:v>Backloggd</x:v>
      </x:c>
      <x:c r="BG897" s="9"/>
      <x:c r="BH897" s="9"/>
      <x:c r="BI897" s="12" t="str">
        <x:v>No</x:v>
      </x:c>
      <x:c r="BJ897" s="12" t="str"/>
      <x:c r="BK897" s="12" t="str">
        <x:v>No</x:v>
      </x:c>
      <x:c r="BL897" s="12" t="str"/>
      <x:c r="BM897" s="12" t="str"/>
      <x:c r="BN897" s="12" t="str"/>
      <x:c r="BO897" s="12" t="str"/>
      <x:c r="BP897" s="12" t="str"/>
      <x:c r="BQ897" s="12" t="str"/>
    </x:row>
    <x:row r="898">
      <x:c r="A898" s="9" t="str">
        <x:v>dvd-23</x:v>
      </x:c>
      <x:c r="B898" s="9" t="str">
        <x:v>family-feud-dvd</x:v>
      </x:c>
      <x:c r="C898" s="9" t="str">
        <x:v>DVD</x:v>
      </x:c>
      <x:c r="D898" s="9" t="str">
        <x:v>Family Feud DVD Game</x:v>
      </x:c>
      <x:c r="E898" s="9" t="str">
        <x:v>Family Feud: The Interactive DVD Game</x:v>
      </x:c>
      <x:c r="F898" s="9" t="str">
        <x:v>Imagination Entertainment</x:v>
      </x:c>
      <x:c r="G898" s="9" t="str">
        <x:v>Imagination Games (Fremantle licence)</x:v>
      </x:c>
      <x:c r="H898" s="9" t="n">
        <x:v>2005</x:v>
      </x:c>
      <x:c r="I898" s="9" t="str">
        <x:v>Yes</x:v>
      </x:c>
      <x:c r="J898" s="9" t="str">
        <x:v>No</x:v>
      </x:c>
      <x:c r="K898" s="9" t="str">
        <x:v>No</x:v>
      </x:c>
      <x:c r="L898" s="9" t="str">
        <x:v>No</x:v>
      </x:c>
      <x:c r="M898" s="9" t="str">
        <x:v>DVD game show</x:v>
      </x:c>
      <x:c r="N898" s="9" t="str">
        <x:v>Live-action</x:v>
      </x:c>
      <x:c r="O898" s="9" t="n">
        <x:v>6</x:v>
      </x:c>
      <x:c r="P898" s="9" t="str">
        <x:v>Game show / trivia</x:v>
      </x:c>
      <x:c r="Q898" s="9" t="str">
        <x:v>Released</x:v>
      </x:c>
      <x:c r="R898" s="9" t="str">
        <x:v>Licensed: Family Feud</x:v>
      </x:c>
      <x:c r="S898" s="9" t="str"/>
      <x:c r="T898" s="9" t="str">
        <x:v>Richard Karn (host, 2005/2006 editions); John O'Hurley (host, 2009 edition)</x:v>
      </x:c>
      <x:c r="U898" s="9" t="n">
        <x:v>1</x:v>
      </x:c>
      <x:c r="V898" s="9" t="str">
        <x:v>No</x:v>
      </x:c>
      <x:c r="W898" s="9" t="str">
        <x:v>Any DVD player (remote)</x:v>
      </x:c>
      <x:c r="X898" s="9" t="str">
        <x:v>Med</x:v>
      </x:c>
      <x:c r="Y898" s="9" t="str">
        <x:v>Show theme and host footage</x:v>
      </x:c>
      <x:c r="Z898" s="9" t="str">
        <x:v>20–30 min</x:v>
      </x:c>
      <x:c r="AA898" s="9" t="str">
        <x:v>'Survey says!' on DVD, with the show's hosts reading the questions.</x:v>
      </x:c>
      <x:c r="AB898" s="9" t="str">
        <x:v>None known</x:v>
      </x:c>
      <x:c r="AC898" s="9" t="str">
        <x:v>NTSC 480i MPEG-2, full screen (verify)</x:v>
      </x:c>
      <x:c r="AD898" s="9" t="str">
        <x:v>Guess the survey; light</x:v>
      </x:c>
      <x:c r="AE898" s="9" t="str">
        <x:v>Fast Money round</x:v>
      </x:c>
      <x:c r="AF898" s="9" t="str">
        <x:v>Imagination kept the line going with three editions and two different hosts as the TV show changed hosts.</x:v>
      </x:c>
      <x:c r="AG898" s="9" t="str">
        <x:v>2nd Edition (2006); 2009 edition hosted by John O'Hurley; Family Feud Movie Edition (in Imagination's Ultimate DVD Game Collection)</x:v>
      </x:c>
      <x:c r="AH898" s="9" t="str">
        <x:v>No</x:v>
      </x:c>
      <x:c r="AI898" s="9" t="str">
        <x:v>Easy</x:v>
      </x:c>
      <x:c r="AJ898" s="9" t="str">
        <x:v>Any DVD player (region 1/0 disc); the board and cards are needed too.</x:v>
      </x:c>
      <x:c r="AK898" s="9" t="str">
        <x:v>Years from dated listings (verify). WebFetch budget ran out mid-batch; later fields come from search-result titles and memory, marked (verify).</x:v>
      </x:c>
      <x:c r="AL898" s="10"/>
      <x:c r="AM898" s="10"/>
      <x:c r="AN898" s="10"/>
      <x:c r="AO898" s="9"/>
      <x:c r="AP898" s="11" t="str">
        <x:f>HYPERLINK("https://www.pricecharting.com/search-products?q=Family+Feud+DVD+Game+dvd&amp;type=prices","PriceCharting")</x:f>
        <x:v>PriceCharting</x:v>
      </x:c>
      <x:c r="AQ898" s="9"/>
      <x:c r="AR898" s="9"/>
      <x:c r="AS898" s="9"/>
      <x:c r="AT898" s="9"/>
      <x:c r="AU898" s="9" t="str">
        <x:v>No market</x:v>
      </x:c>
      <x:c r="AV898" s="9" t="str">
        <x:v>PriceCharting has no DVD game listings and no other price guide tracks these discs.</x:v>
      </x:c>
      <x:c r="AW898" s="9"/>
      <x:c r="AX898" s="9"/>
      <x:c r="AY898" s="9"/>
      <x:c r="AZ898" s="9"/>
      <x:c r="BA898" s="11" t="str">
        <x:f>HYPERLINK("https://www.mobygames.com/search/?q=Family+Feud+DVD+Game","MobyGames")</x:f>
        <x:v>MobyGames</x:v>
      </x:c>
      <x:c r="BB898" s="9" t="str"/>
      <x:c r="BC898" s="9" t="str"/>
      <x:c r="BD898" s="9"/>
      <x:c r="BE898" s="9"/>
      <x:c r="BF898" s="11" t="str">
        <x:f>HYPERLINK("https://backloggd.com/search/games/Family%20Feud%20DVD%20Game/","Backloggd")</x:f>
        <x:v>Backloggd</x:v>
      </x:c>
      <x:c r="BG898" s="9"/>
      <x:c r="BH898" s="9"/>
      <x:c r="BI898" s="12" t="str">
        <x:v>No</x:v>
      </x:c>
      <x:c r="BJ898" s="12" t="str"/>
      <x:c r="BK898" s="12" t="str">
        <x:v>No</x:v>
      </x:c>
      <x:c r="BL898" s="12" t="str"/>
      <x:c r="BM898" s="12" t="str"/>
      <x:c r="BN898" s="12" t="str"/>
      <x:c r="BO898" s="12" t="str"/>
      <x:c r="BP898" s="12" t="str"/>
      <x:c r="BQ898" s="12" t="str"/>
    </x:row>
    <x:row r="899">
      <x:c r="A899" s="9" t="str">
        <x:v>dvd-24</x:v>
      </x:c>
      <x:c r="B899" s="9" t="str">
        <x:v>the-price-is-right-dvd</x:v>
      </x:c>
      <x:c r="C899" s="9" t="str">
        <x:v>DVD</x:v>
      </x:c>
      <x:c r="D899" s="9" t="str">
        <x:v>The Price Is Right DVD Edition</x:v>
      </x:c>
      <x:c r="E899" s="9" t="str"/>
      <x:c r="F899" s="9" t="str">
        <x:v>Endless Games (verify)</x:v>
      </x:c>
      <x:c r="G899" s="9" t="str">
        <x:v>Endless Games</x:v>
      </x:c>
      <x:c r="H899" s="9" t="n">
        <x:v>2005</x:v>
      </x:c>
      <x:c r="I899" s="9" t="str">
        <x:v>Yes</x:v>
      </x:c>
      <x:c r="J899" s="9" t="str">
        <x:v>No</x:v>
      </x:c>
      <x:c r="K899" s="9" t="str">
        <x:v>No</x:v>
      </x:c>
      <x:c r="L899" s="9" t="str">
        <x:v>No</x:v>
      </x:c>
      <x:c r="M899" s="9" t="str">
        <x:v>DVD game show</x:v>
      </x:c>
      <x:c r="N899" s="9" t="str">
        <x:v>Live-action + CG</x:v>
      </x:c>
      <x:c r="O899" s="9" t="n">
        <x:v>5</x:v>
      </x:c>
      <x:c r="P899" s="9" t="str">
        <x:v>Game show / trivia</x:v>
      </x:c>
      <x:c r="Q899" s="9" t="str">
        <x:v>Released</x:v>
      </x:c>
      <x:c r="R899" s="9" t="str">
        <x:v>Licensed: The Price Is Right</x:v>
      </x:c>
      <x:c r="S899" s="9" t="str"/>
      <x:c r="T899" s="9" t="str">
        <x:v>Unknown — verify (no Bob Barker footage confirmed)</x:v>
      </x:c>
      <x:c r="U899" s="9" t="n">
        <x:v>1</x:v>
      </x:c>
      <x:c r="V899" s="9" t="str">
        <x:v>No</x:v>
      </x:c>
      <x:c r="W899" s="9" t="str">
        <x:v>Any DVD player (remote); also plays on PC (verify)</x:v>
      </x:c>
      <x:c r="X899" s="9" t="str">
        <x:v>Med</x:v>
      </x:c>
      <x:c r="Y899" s="9" t="str">
        <x:v>Show theme and pricing-game music</x:v>
      </x:c>
      <x:c r="Z899" s="9" t="str">
        <x:v>30–45 min</x:v>
      </x:c>
      <x:c r="AA899" s="9" t="str">
        <x:v>Pricing games and the Showcase played off a DVD with the show's music.</x:v>
      </x:c>
      <x:c r="AB899" s="9" t="str">
        <x:v>None known</x:v>
      </x:c>
      <x:c r="AC899" s="9" t="str">
        <x:v>NTSC 480i MPEG-2, full screen (verify)</x:v>
      </x:c>
      <x:c r="AD899" s="9" t="str">
        <x:v>Guessing retail prices</x:v>
      </x:c>
      <x:c r="AE899" s="9" t="str">
        <x:v>Showcase Showdown</x:v>
      </x:c>
      <x:c r="AF899" s="9" t="str">
        <x:v>Endless Games' home games for the show predate the DVD version.</x:v>
      </x:c>
      <x:c r="AG899" s="9" t="str">
        <x:v>Later Endless Games DVD editions (verify)</x:v>
      </x:c>
      <x:c r="AH899" s="9" t="str">
        <x:v>No</x:v>
      </x:c>
      <x:c r="AI899" s="9" t="str">
        <x:v>Easy</x:v>
      </x:c>
      <x:c r="AJ899" s="9" t="str">
        <x:v>Any DVD player (region 1/0 disc); the board and cards are needed too.</x:v>
      </x:c>
      <x:c r="AK899" s="9" t="str">
        <x:v>'PC/DVD' per listings. WebFetch budget ran out mid-batch; later fields come from search-result titles and memory, marked (verify).</x:v>
      </x:c>
      <x:c r="AL899" s="10"/>
      <x:c r="AM899" s="10"/>
      <x:c r="AN899" s="10"/>
      <x:c r="AO899" s="9"/>
      <x:c r="AP899" s="11" t="str">
        <x:f>HYPERLINK("https://www.pricecharting.com/search-products?q=The+Price+Is+Right+DVD+Edition+dvd&amp;type=prices","PriceCharting")</x:f>
        <x:v>PriceCharting</x:v>
      </x:c>
      <x:c r="AQ899" s="9"/>
      <x:c r="AR899" s="9"/>
      <x:c r="AS899" s="9"/>
      <x:c r="AT899" s="9"/>
      <x:c r="AU899" s="9" t="str">
        <x:v>No market</x:v>
      </x:c>
      <x:c r="AV899" s="9" t="str">
        <x:v>PriceCharting has no DVD game listings and no other price guide tracks these discs.</x:v>
      </x:c>
      <x:c r="AW899" s="9"/>
      <x:c r="AX899" s="9"/>
      <x:c r="AY899" s="9"/>
      <x:c r="AZ899" s="9"/>
      <x:c r="BA899" s="11" t="str">
        <x:f>HYPERLINK("https://www.mobygames.com/search/?q=The+Price+Is+Right+DVD+Edition","MobyGames")</x:f>
        <x:v>MobyGames</x:v>
      </x:c>
      <x:c r="BB899" s="9" t="str"/>
      <x:c r="BC899" s="9" t="str"/>
      <x:c r="BD899" s="9"/>
      <x:c r="BE899" s="9"/>
      <x:c r="BF899" s="11" t="str">
        <x:f>HYPERLINK("https://backloggd.com/search/games/The%20Price%20Is%20Right%20DVD%20Edition/","Backloggd")</x:f>
        <x:v>Backloggd</x:v>
      </x:c>
      <x:c r="BG899" s="9"/>
      <x:c r="BH899" s="9"/>
      <x:c r="BI899" s="12" t="str">
        <x:v>No</x:v>
      </x:c>
      <x:c r="BJ899" s="12" t="str"/>
      <x:c r="BK899" s="12" t="str">
        <x:v>No</x:v>
      </x:c>
      <x:c r="BL899" s="12" t="str"/>
      <x:c r="BM899" s="12" t="str"/>
      <x:c r="BN899" s="12" t="str"/>
      <x:c r="BO899" s="12" t="str"/>
      <x:c r="BP899" s="12" t="str"/>
      <x:c r="BQ899" s="12" t="str"/>
    </x:row>
    <x:row r="900">
      <x:c r="A900" s="9" t="str">
        <x:v>dvd-25</x:v>
      </x:c>
      <x:c r="B900" s="9" t="str">
        <x:v>shout-about-movies</x:v>
      </x:c>
      <x:c r="C900" s="9" t="str">
        <x:v>DVD</x:v>
      </x:c>
      <x:c r="D900" s="9" t="str">
        <x:v>Shout About Movies</x:v>
      </x:c>
      <x:c r="E900" s="9" t="str">
        <x:v>Shout About Movies: The DVD Party Game</x:v>
      </x:c>
      <x:c r="F900" s="9" t="str">
        <x:v>Hasbro (verify)</x:v>
      </x:c>
      <x:c r="G900" s="9" t="str">
        <x:v>Parker Brothers (Hasbro)</x:v>
      </x:c>
      <x:c r="H900" s="9" t="n">
        <x:v>2004</x:v>
      </x:c>
      <x:c r="I900" s="9" t="str">
        <x:v>Yes</x:v>
      </x:c>
      <x:c r="J900" s="9" t="str">
        <x:v>No</x:v>
      </x:c>
      <x:c r="K900" s="9" t="str">
        <x:v>No</x:v>
      </x:c>
      <x:c r="L900" s="9" t="str">
        <x:v>No</x:v>
      </x:c>
      <x:c r="M900" s="9" t="str">
        <x:v>DVD party trivia</x:v>
      </x:c>
      <x:c r="N900" s="9" t="str">
        <x:v>Live-action</x:v>
      </x:c>
      <x:c r="O900" s="9" t="n">
        <x:v>7</x:v>
      </x:c>
      <x:c r="P900" s="9" t="str">
        <x:v>Game show / trivia</x:v>
      </x:c>
      <x:c r="Q900" s="9" t="str">
        <x:v>Released</x:v>
      </x:c>
      <x:c r="R900" s="9" t="str">
        <x:v>Original production with licensed film clips</x:v>
      </x:c>
      <x:c r="S900" s="9" t="str"/>
      <x:c r="T900" s="9" t="str">
        <x:v>Licensed film clips (verify)</x:v>
      </x:c>
      <x:c r="U900" s="9" t="n">
        <x:v>1</x:v>
      </x:c>
      <x:c r="V900" s="9" t="str">
        <x:v>No</x:v>
      </x:c>
      <x:c r="W900" s="9" t="str">
        <x:v>Any DVD player (remote)</x:v>
      </x:c>
      <x:c r="X900" s="9" t="str">
        <x:v>HIGH</x:v>
      </x:c>
      <x:c r="Y900" s="9" t="str">
        <x:v>Licensed film clips</x:v>
      </x:c>
      <x:c r="Z900" s="9" t="str">
        <x:v>30–60 min</x:v>
      </x:c>
      <x:c r="AA900" s="9" t="str">
        <x:v>Parker Brothers' board-free answer to Scene It?: the disc plays clips and the room shouts.</x:v>
      </x:c>
      <x:c r="AB900" s="9" t="str">
        <x:v>None known</x:v>
      </x:c>
      <x:c r="AC900" s="9" t="str">
        <x:v>NTSC 480i MPEG-2, full screen (verify)</x:v>
      </x:c>
      <x:c r="AD900" s="9" t="str">
        <x:v>Light party trivia</x:v>
      </x:c>
      <x:c r="AE900" s="9" t="str">
        <x:v>None</x:v>
      </x:c>
      <x:c r="AF900" s="9" t="str">
        <x:v>Sold as numbered discs (Disc 2, 3, 4 sold separately) alongside Shout About TV and Shout About Music.</x:v>
      </x:c>
      <x:c r="AG900" s="9" t="str">
        <x:v>Shout About Movies Discs 2–4; Shout About TV; Shout About Music</x:v>
      </x:c>
      <x:c r="AH900" s="9" t="str">
        <x:v>No</x:v>
      </x:c>
      <x:c r="AI900" s="9" t="str">
        <x:v>Easy</x:v>
      </x:c>
      <x:c r="AJ900" s="9" t="str">
        <x:v>Any DVD player (region 1/0 disc); the board and cards are needed too.</x:v>
      </x:c>
      <x:c r="AK900" s="9" t="str">
        <x:v>Released 20 November 2004 (Wikipedia). Has a MobyGames entry family ('Shout About Music 1'), so check for a DVD Player score. WebFetch budget ran out mid-batch; later fields come from search-result titles and memory, marked (verify).</x:v>
      </x:c>
      <x:c r="AL900" s="10"/>
      <x:c r="AM900" s="10"/>
      <x:c r="AN900" s="10"/>
      <x:c r="AO900" s="9"/>
      <x:c r="AP900" s="11" t="str">
        <x:f>HYPERLINK("https://www.pricecharting.com/search-products?q=Shout+About+Movies+dvd&amp;type=prices","PriceCharting")</x:f>
        <x:v>PriceCharting</x:v>
      </x:c>
      <x:c r="AQ900" s="9"/>
      <x:c r="AR900" s="9"/>
      <x:c r="AS900" s="9"/>
      <x:c r="AT900" s="9"/>
      <x:c r="AU900" s="9" t="str">
        <x:v>No market</x:v>
      </x:c>
      <x:c r="AV900" s="9" t="str">
        <x:v>PriceCharting has no DVD game listings and no other price guide tracks these discs.</x:v>
      </x:c>
      <x:c r="AW900" s="9"/>
      <x:c r="AX900" s="9"/>
      <x:c r="AY900" s="9"/>
      <x:c r="AZ900" s="9"/>
      <x:c r="BA900" s="11" t="str">
        <x:f>HYPERLINK("https://www.mobygames.com/search/?q=Shout+About+Movies","MobyGames")</x:f>
        <x:v>MobyGames</x:v>
      </x:c>
      <x:c r="BB900" s="9" t="str"/>
      <x:c r="BC900" s="9" t="str"/>
      <x:c r="BD900" s="9"/>
      <x:c r="BE900" s="11" t="str">
        <x:f>HYPERLINK("https://en.wikipedia.org/wiki/Shout_About_Movies","Wikipedia")</x:f>
        <x:v>Wikipedia</x:v>
      </x:c>
      <x:c r="BF900" s="11" t="str">
        <x:f>HYPERLINK("https://backloggd.com/search/games/Shout%20About%20Movies/","Backloggd")</x:f>
        <x:v>Backloggd</x:v>
      </x:c>
      <x:c r="BG900" s="9"/>
      <x:c r="BH900" s="9"/>
      <x:c r="BI900" s="12" t="str">
        <x:v>No</x:v>
      </x:c>
      <x:c r="BJ900" s="12" t="str"/>
      <x:c r="BK900" s="12" t="str">
        <x:v>No</x:v>
      </x:c>
      <x:c r="BL900" s="12" t="str"/>
      <x:c r="BM900" s="12" t="str"/>
      <x:c r="BN900" s="12" t="str"/>
      <x:c r="BO900" s="12" t="str"/>
      <x:c r="BP900" s="12" t="str"/>
      <x:c r="BQ900" s="12" t="str"/>
    </x:row>
    <x:row r="901">
      <x:c r="A901" s="9" t="str">
        <x:v>segacd-68</x:v>
      </x:c>
      <x:c r="B901" s="9" t="str">
        <x:v>cadillacs-and-dinosaurs-the-second-cataclysm</x:v>
      </x:c>
      <x:c r="C901" s="9" t="str">
        <x:v>Sega CD</x:v>
      </x:c>
      <x:c r="D901" s="9" t="str">
        <x:v>Cadillacs and Dinosaurs: The Second Cataclysm</x:v>
      </x:c>
      <x:c r="E901" s="9" t="str"/>
      <x:c r="F901" s="9" t="str">
        <x:v>Rocket Science Games</x:v>
      </x:c>
      <x:c r="G901" s="9" t="str">
        <x:v>Rocket Science Games</x:v>
      </x:c>
      <x:c r="H901" s="9" t="n">
        <x:v>1994</x:v>
      </x:c>
      <x:c r="I901" s="9" t="str">
        <x:v>Yes</x:v>
      </x:c>
      <x:c r="J901" s="9" t="str">
        <x:v>No</x:v>
      </x:c>
      <x:c r="K901" s="9" t="str">
        <x:v>No</x:v>
      </x:c>
      <x:c r="L901" s="9" t="str">
        <x:v>No</x:v>
      </x:c>
      <x:c r="M901" s="9" t="str">
        <x:v>Rail shooter</x:v>
      </x:c>
      <x:c r="N901" s="9" t="str">
        <x:v>Pre-rendered CG</x:v>
      </x:c>
      <x:c r="O901" s="9" t="n">
        <x:v>9</x:v>
      </x:c>
      <x:c r="P901" s="9" t="str">
        <x:v>Pre-rendered CG</x:v>
      </x:c>
      <x:c r="Q901" s="9" t="str">
        <x:v>Released</x:v>
      </x:c>
      <x:c r="R901" s="9" t="str">
        <x:v>Comic license (Mark Schultz's Xenozoic Tales; the 1993 animated series)</x:v>
      </x:c>
      <x:c r="S901" s="9" t="str">
        <x:v>MS-DOS (1994); a 3DO version announced with BMG Interactive in 1995 was never released</x:v>
      </x:c>
      <x:c r="T901" s="9" t="str">
        <x:v>—</x:v>
      </x:c>
      <x:c r="U901" s="9" t="n">
        <x:v>1</x:v>
      </x:c>
      <x:c r="V901" s="9" t="str">
        <x:v>No (verify)</x:v>
      </x:c>
      <x:c r="W901" s="9" t="str">
        <x:v>Controller</x:v>
      </x:c>
      <x:c r="X901" s="9" t="str">
        <x:v>Low</x:v>
      </x:c>
      <x:c r="Y901" s="9" t="str"/>
      <x:c r="Z901" s="9" t="str">
        <x:v>1–2 hr (verify)</x:v>
      </x:c>
      <x:c r="AA901" s="9" t="str">
        <x:v>Jack Tenrec drives a Cadillac through dinosaur country over streamed CG video, Rocket Science's second and last Sega CD rail shooter.</x:v>
      </x:c>
      <x:c r="AB901" s="9" t="str">
        <x:v>None known</x:v>
      </x:c>
      <x:c r="AC901" s="9" t="str">
        <x:v>Streamed pre-rendered CG playfield with sprite targets over it, plus animated cut-scenes (window size and frame rate verify)</x:v>
      </x:c>
      <x:c r="AD901" s="9" t="str">
        <x:v>Moderate (verify)</x:v>
      </x:c>
      <x:c r="AE901" s="9" t="str">
        <x:v>Single ending (verify)</x:v>
      </x:c>
      <x:c r="AF901" s="9" t="str">
        <x:v>A sequel to Capcom's beat 'em up in name only: Rocket Science made it after Loadstar, with more action and animated cut-scenes. EGM gave it 5.6/10.</x:v>
      </x:c>
      <x:c r="AG901" s="9" t="str">
        <x:v>NA release (EU release verify)</x:v>
      </x:c>
      <x:c r="AH901" s="9" t="str">
        <x:v>No</x:v>
      </x:c>
      <x:c r="AI901" s="9" t="str">
        <x:v>Easy</x:v>
      </x:c>
      <x:c r="AJ901" s="9" t="str">
        <x:v>Original Sega CD, or emulation with the disc image; no re-release.</x:v>
      </x:c>
      <x:c r="AK901" s="9" t="str">
        <x:v>Wikipedia: rail shooter with FMV made for the game; Sega CD and MS-DOS 1994. Reviews: EGM 5.6/10, Next Generation 3/5. Regions other than NA not confirmed.</x:v>
      </x:c>
      <x:c r="AL901" s="10"/>
      <x:c r="AM901" s="10"/>
      <x:c r="AN901" s="10"/>
      <x:c r="AO901" s="9"/>
      <x:c r="AP901" s="11" t="str">
        <x:f>HYPERLINK("https://www.pricecharting.com/search-products?q=Cadillacs+and+Dinosaurs%3A+The+Second+Cataclysm+sega+cd&amp;type=prices","PriceCharting")</x:f>
        <x:v>PriceCharting</x:v>
      </x:c>
      <x:c r="AQ901" s="9"/>
      <x:c r="AR901" s="9"/>
      <x:c r="AS901" s="9"/>
      <x:c r="AT901" s="9"/>
      <x:c r="AU901" s="9"/>
      <x:c r="AV901" s="9"/>
      <x:c r="AW901" s="9"/>
      <x:c r="AX901" s="9"/>
      <x:c r="AY901" s="9"/>
      <x:c r="AZ901" s="9"/>
      <x:c r="BA901" s="11" t="str">
        <x:f>HYPERLINK("https://www.mobygames.com/game/10440/","MobyGames")</x:f>
        <x:v>MobyGames</x:v>
      </x:c>
      <x:c r="BB901" s="9" t="str">
        <x:v>58%</x:v>
      </x:c>
      <x:c r="BC901" s="9" t="str">
        <x:v>average of 2 reviews on Wikipedia (EGM 5.6/10, Next Generation 3/5)</x:v>
      </x:c>
      <x:c r="BD901" s="9" t="str">
        <x:f>HYPERLINK("https://en.wikipedia.org/wiki/Cadillacs_and_Dinosaurs:_The_Second_Cataclysm","Source")</x:f>
        <x:v>Source</x:v>
      </x:c>
      <x:c r="BE901" s="11" t="str">
        <x:f>HYPERLINK("https://en.wikipedia.org/wiki/Cadillacs_and_Dinosaurs:_The_Second_Cataclysm","Wikipedia")</x:f>
        <x:v>Wikipedia</x:v>
      </x:c>
      <x:c r="BF901" s="11" t="str">
        <x:f>HYPERLINK("https://backloggd.com/search/games/Cadillacs%20and%20Dinosaurs%3A%20The%20Second%20Cataclysm/","Backloggd")</x:f>
        <x:v>Backloggd</x:v>
      </x:c>
      <x:c r="BG901" s="9"/>
      <x:c r="BH901" s="9"/>
      <x:c r="BI901" s="12" t="str">
        <x:v>No</x:v>
      </x:c>
      <x:c r="BJ901" s="12" t="str"/>
      <x:c r="BK901" s="12" t="str">
        <x:v>No</x:v>
      </x:c>
      <x:c r="BL901" s="12" t="str"/>
      <x:c r="BM901" s="12" t="str"/>
      <x:c r="BN901" s="12" t="str"/>
      <x:c r="BO901" s="12" t="str"/>
      <x:c r="BP901" s="12" t="str"/>
      <x:c r="BQ901" s="12" t="str"/>
    </x:row>
    <x:row r="902">
      <x:c r="A902" s="9" t="str">
        <x:v>segacd-69</x:v>
      </x:c>
      <x:c r="B902" s="9" t="str">
        <x:v>lunar-the-silver-star</x:v>
      </x:c>
      <x:c r="C902" s="9" t="str">
        <x:v>Sega CD</x:v>
      </x:c>
      <x:c r="D902" s="9" t="str">
        <x:v>Lunar: The Silver Star</x:v>
      </x:c>
      <x:c r="E902" s="9" t="str"/>
      <x:c r="F902" s="9" t="str">
        <x:v>Game Arts, Studio Alex</x:v>
      </x:c>
      <x:c r="G902" s="9" t="str">
        <x:v>Game Arts (JP), Working Designs (NA)</x:v>
      </x:c>
      <x:c r="H902" s="9" t="n">
        <x:v>1992</x:v>
      </x:c>
      <x:c r="I902" s="9" t="str">
        <x:v>Yes</x:v>
      </x:c>
      <x:c r="J902" s="9" t="str">
        <x:v>Yes</x:v>
      </x:c>
      <x:c r="K902" s="9" t="str">
        <x:v>No</x:v>
      </x:c>
      <x:c r="L902" s="9" t="str">
        <x:v>No</x:v>
      </x:c>
      <x:c r="M902" s="9" t="str">
        <x:v>RPG</x:v>
      </x:c>
      <x:c r="N902" s="9" t="str">
        <x:v>Animated</x:v>
      </x:c>
      <x:c r="O902" s="9" t="n">
        <x:v>2</x:v>
      </x:c>
      <x:c r="P902" s="9" t="str">
        <x:v>Cutscenes only</x:v>
      </x:c>
      <x:c r="Q902" s="9" t="str">
        <x:v>Released</x:v>
      </x:c>
      <x:c r="R902" s="9" t="str">
        <x:v>Original production</x:v>
      </x:c>
      <x:c r="S902" s="9" t="str">
        <x:v>Remade as Lunar: Silver Star Story (Saturn 1996, PlayStation 1998, Windows) with new animation; Lunar Legend (GBA), Silver Star Harmony (PSP)</x:v>
      </x:c>
      <x:c r="T902" s="9" t="str">
        <x:v>English: Ashley Parker Angel (Alex), Rhonda Gibson (Luna), John Truitt (Ghaleon); Japanese: Kikuko Inoue, Rokurō Naya</x:v>
      </x:c>
      <x:c r="U902" s="9" t="n">
        <x:v>1</x:v>
      </x:c>
      <x:c r="V902" s="9" t="str">
        <x:v>Yes (Sega CD internal RAM or a RAM cartridge)</x:v>
      </x:c>
      <x:c r="W902" s="9" t="str">
        <x:v>Controller; optional backup RAM cartridge</x:v>
      </x:c>
      <x:c r="X902" s="9" t="str">
        <x:v>Low</x:v>
      </x:c>
      <x:c r="Y902" s="9" t="str"/>
      <x:c r="Z902" s="9" t="str">
        <x:v>20–30 hr</x:v>
      </x:c>
      <x:c r="AA902" s="9" t="str">
        <x:v>The Sega CD's best-loved RPG, with anime interludes and about 15 minutes of voiced dialogue that sold the add-on to a lot of people.</x:v>
      </x:c>
      <x:c r="AB902" s="9" t="str">
        <x:v>None known</x:v>
      </x:c>
      <x:c r="AC902" s="9" t="str">
        <x:v>Short full-screen and quarter-screen animated interludes with CD audio (total minutes verify)</x:v>
      </x:c>
      <x:c r="AD902" s="9" t="str">
        <x:v>Moderate</x:v>
      </x:c>
      <x:c r="AE902" s="9" t="str">
        <x:v>Single ending</x:v>
      </x:c>
      <x:c r="AF902" s="9" t="str">
        <x:v>Working Designs translated it in eight weeks, printed seven different disc labels and added the harp scene at Victor Ireland's request.</x:v>
      </x:c>
      <x:c r="AG902" s="9" t="str">
        <x:v>JP (Game Arts, 1992), NA (Working Designs, Dec 1993, embossed manual, several disc label prints)</x:v>
      </x:c>
      <x:c r="AH902" s="9" t="str">
        <x:v>No (Sega CD); the remakes are in Lunar Remastered Collection (2025)</x:v>
      </x:c>
      <x:c r="AI902" s="9" t="str">
        <x:v>Easy</x:v>
      </x:c>
      <x:c r="AJ902" s="9" t="str">
        <x:v>Original Sega CD; the NA disc is common but not cheap. Emulation with the disc image works.</x:v>
      </x:c>
      <x:c r="AK902" s="9" t="str">
        <x:v>The video is a garnish on a long RPG, so fmv is low; it is in under the small-library rule. Kept apart from the Silver Star Story / Eternal Blue Complete remakes, whose animation and script are new; giving it the remake's gameId would make them one game.</x:v>
      </x:c>
      <x:c r="AL902" s="10"/>
      <x:c r="AM902" s="10"/>
      <x:c r="AN902" s="10"/>
      <x:c r="AO902" s="9"/>
      <x:c r="AP902" s="11" t="str">
        <x:f>HYPERLINK("https://www.pricecharting.com/search-products?q=Lunar%3A+The+Silver+Star+sega+cd&amp;type=prices","PriceCharting")</x:f>
        <x:v>PriceCharting</x:v>
      </x:c>
      <x:c r="AQ902" s="9"/>
      <x:c r="AR902" s="9"/>
      <x:c r="AS902" s="9"/>
      <x:c r="AT902" s="9"/>
      <x:c r="AU902" s="9"/>
      <x:c r="AV902" s="9"/>
      <x:c r="AW902" s="9"/>
      <x:c r="AX902" s="9"/>
      <x:c r="AY902" s="9"/>
      <x:c r="AZ902" s="9"/>
      <x:c r="BA902" s="11" t="str">
        <x:f>HYPERLINK("https://www.mobygames.com/search/?q=Lunar%3A+The+Silver+Star","MobyGames")</x:f>
        <x:v>MobyGames</x:v>
      </x:c>
      <x:c r="BB902" s="9" t="str">
        <x:v>88%</x:v>
      </x:c>
      <x:c r="BC902" s="9" t="str">
        <x:v>GameRankings (archived), via Wikipedia</x:v>
      </x:c>
      <x:c r="BD902" s="9" t="str">
        <x:f>HYPERLINK("https://en.wikipedia.org/wiki/Lunar:_The_Silver_Star","Source")</x:f>
        <x:v>Source</x:v>
      </x:c>
      <x:c r="BE902" s="11" t="str">
        <x:f>HYPERLINK("https://en.wikipedia.org/wiki/Lunar:_The_Silver_Star","Wikipedia")</x:f>
        <x:v>Wikipedia</x:v>
      </x:c>
      <x:c r="BF902" s="11" t="str">
        <x:f>HYPERLINK("https://backloggd.com/search/games/Lunar%3A%20The%20Silver%20Star/","Backloggd")</x:f>
        <x:v>Backloggd</x:v>
      </x:c>
      <x:c r="BG902" s="9"/>
      <x:c r="BH902" s="9"/>
      <x:c r="BI902" s="12" t="str">
        <x:v>No</x:v>
      </x:c>
      <x:c r="BJ902" s="12" t="str"/>
      <x:c r="BK902" s="12" t="str">
        <x:v>No</x:v>
      </x:c>
      <x:c r="BL902" s="12" t="str"/>
      <x:c r="BM902" s="12" t="str"/>
      <x:c r="BN902" s="12" t="str"/>
      <x:c r="BO902" s="12" t="str"/>
      <x:c r="BP902" s="12" t="str"/>
      <x:c r="BQ902" s="12" t="str"/>
    </x:row>
    <x:row r="903">
      <x:c r="A903" s="9" t="str">
        <x:v>segacd-70</x:v>
      </x:c>
      <x:c r="B903" s="9" t="str">
        <x:v>lunar-eternal-blue</x:v>
      </x:c>
      <x:c r="C903" s="9" t="str">
        <x:v>Sega CD</x:v>
      </x:c>
      <x:c r="D903" s="9" t="str">
        <x:v>Lunar: Eternal Blue</x:v>
      </x:c>
      <x:c r="E903" s="9" t="str"/>
      <x:c r="F903" s="9" t="str">
        <x:v>Game Arts, Studio Alex</x:v>
      </x:c>
      <x:c r="G903" s="9" t="str">
        <x:v>Game Arts (JP), Working Designs (NA)</x:v>
      </x:c>
      <x:c r="H903" s="9" t="n">
        <x:v>1994</x:v>
      </x:c>
      <x:c r="I903" s="9" t="str">
        <x:v>Yes</x:v>
      </x:c>
      <x:c r="J903" s="9" t="str">
        <x:v>Yes</x:v>
      </x:c>
      <x:c r="K903" s="9" t="str">
        <x:v>No</x:v>
      </x:c>
      <x:c r="L903" s="9" t="str">
        <x:v>No</x:v>
      </x:c>
      <x:c r="M903" s="9" t="str">
        <x:v>RPG</x:v>
      </x:c>
      <x:c r="N903" s="9" t="str">
        <x:v>Animated</x:v>
      </x:c>
      <x:c r="O903" s="9" t="n">
        <x:v>3</x:v>
      </x:c>
      <x:c r="P903" s="9" t="str">
        <x:v>Cutscenes only</x:v>
      </x:c>
      <x:c r="Q903" s="9" t="str">
        <x:v>Released</x:v>
      </x:c>
      <x:c r="R903" s="9" t="str">
        <x:v>Original production</x:v>
      </x:c>
      <x:c r="S903" s="9" t="str">
        <x:v>Saturn (Lunar 2: Eternal Blue Complete, JP 1998), PlayStation (JP 1999, NA 2000), Lunar Remastered Collection (2025)</x:v>
      </x:c>
      <x:c r="T903" s="9" t="str">
        <x:v>English: Mark Zempel (Hiro), Kelly Weaver (Lucia), John Truitt (Ghaleon); Japanese: Hikaru Midorikawa, Chisa Yokoyama, Rokurō Naya</x:v>
      </x:c>
      <x:c r="U903" s="9" t="n">
        <x:v>1</x:v>
      </x:c>
      <x:c r="V903" s="9" t="str">
        <x:v>Yes (internal RAM or RAM cartridge; the NA version charges magic experience to save)</x:v>
      </x:c>
      <x:c r="W903" s="9" t="str">
        <x:v>Controller; optional backup RAM cartridge</x:v>
      </x:c>
      <x:c r="X903" s="9" t="str">
        <x:v>Low</x:v>
      </x:c>
      <x:c r="Y903" s="9" t="str"/>
      <x:c r="Z903" s="9" t="str">
        <x:v>30–40 hr</x:v>
      </x:c>
      <x:c r="AA903" s="9" t="str">
        <x:v>The Sega CD's biggest production, a $2.5 million RPG with nearly fifty minutes of voiced anime scenes.</x:v>
      </x:c>
      <x:c r="AB903" s="9" t="str">
        <x:v>None known</x:v>
      </x:c>
      <x:c r="AC903" s="9" t="str">
        <x:v>Animated interludes, nearly fifty minutes of voiced content in all (share that is streamed animation verify)</x:v>
      </x:c>
      <x:c r="AD903" s="9" t="str">
        <x:v>Moderate; Working Designs raised it in the NA version</x:v>
      </x:c>
      <x:c r="AE903" s="9" t="str">
        <x:v>Single ending, with an epilogue</x:v>
      </x:c>
      <x:c r="AF903" s="9" t="str">
        <x:v>EGM named it the best Mega-CD game of 1995; it was the second best-selling Sega CD game in Japan despite a ¥9,900 price.</x:v>
      </x:c>
      <x:c r="AG903" s="9" t="str">
        <x:v>JP (Dec 1994), NA (Working Designs, Sep 1995)</x:v>
      </x:c>
      <x:c r="AH903" s="9" t="str">
        <x:v>No (Sega CD); the PS1 Complete version is in Lunar Remastered Collection (2025)</x:v>
      </x:c>
      <x:c r="AI903" s="9" t="str">
        <x:v>Expensive</x:v>
      </x:c>
      <x:c r="AJ903" s="9" t="str">
        <x:v>Original Sega CD (the NA disc sells high, price verify), or emulation with the disc image.</x:v>
      </x:c>
      <x:c r="AK903" s="9" t="str">
        <x:v>In under the small-library rule; video is cutscenes. GameRankings 91% (7 reviews). Kept apart from the Silver Star Story / Eternal Blue Complete remakes, whose animation and script are new; giving it the remake's gameId would make them one game.</x:v>
      </x:c>
      <x:c r="AL903" s="10"/>
      <x:c r="AM903" s="10"/>
      <x:c r="AN903" s="10"/>
      <x:c r="AO903" s="9"/>
      <x:c r="AP903" s="11" t="str">
        <x:f>HYPERLINK("https://www.pricecharting.com/search-products?q=Lunar%3A+Eternal+Blue+sega+cd&amp;type=prices","PriceCharting")</x:f>
        <x:v>PriceCharting</x:v>
      </x:c>
      <x:c r="AQ903" s="9"/>
      <x:c r="AR903" s="9"/>
      <x:c r="AS903" s="9"/>
      <x:c r="AT903" s="9"/>
      <x:c r="AU903" s="9"/>
      <x:c r="AV903" s="9"/>
      <x:c r="AW903" s="9"/>
      <x:c r="AX903" s="9"/>
      <x:c r="AY903" s="9"/>
      <x:c r="AZ903" s="9"/>
      <x:c r="BA903" s="11" t="str">
        <x:f>HYPERLINK("https://www.mobygames.com/search/?q=Lunar%3A+Eternal+Blue","MobyGames")</x:f>
        <x:v>MobyGames</x:v>
      </x:c>
      <x:c r="BB903" s="9" t="str">
        <x:v>91%</x:v>
      </x:c>
      <x:c r="BC903" s="9" t="str">
        <x:v>GameRankings (archived), 7 reviews, via Wikipedia</x:v>
      </x:c>
      <x:c r="BD903" s="9" t="str">
        <x:f>HYPERLINK("https://en.wikipedia.org/wiki/Lunar:_Eternal_Blue","Source")</x:f>
        <x:v>Source</x:v>
      </x:c>
      <x:c r="BE903" s="11" t="str">
        <x:f>HYPERLINK("https://en.wikipedia.org/wiki/Lunar:_Eternal_Blue","Wikipedia")</x:f>
        <x:v>Wikipedia</x:v>
      </x:c>
      <x:c r="BF903" s="11" t="str">
        <x:f>HYPERLINK("https://backloggd.com/search/games/Lunar%3A%20Eternal%20Blue/","Backloggd")</x:f>
        <x:v>Backloggd</x:v>
      </x:c>
      <x:c r="BG903" s="9"/>
      <x:c r="BH903" s="9"/>
      <x:c r="BI903" s="12" t="str">
        <x:v>No</x:v>
      </x:c>
      <x:c r="BJ903" s="12" t="str"/>
      <x:c r="BK903" s="12" t="str">
        <x:v>No</x:v>
      </x:c>
      <x:c r="BL903" s="12" t="str"/>
      <x:c r="BM903" s="12" t="str"/>
      <x:c r="BN903" s="12" t="str"/>
      <x:c r="BO903" s="12" t="str"/>
      <x:c r="BP903" s="12" t="str"/>
      <x:c r="BQ903" s="12" t="str"/>
    </x:row>
    <x:row r="904">
      <x:c r="A904" s="9" t="str">
        <x:v>segacd-71</x:v>
      </x:c>
      <x:c r="B904" s="9" t="str">
        <x:v>the-adventures-of-batman-and-robin</x:v>
      </x:c>
      <x:c r="C904" s="9" t="str">
        <x:v>Sega CD</x:v>
      </x:c>
      <x:c r="D904" s="9" t="str">
        <x:v>The Adventures of Batman &amp; Robin</x:v>
      </x:c>
      <x:c r="E904" s="9" t="str"/>
      <x:c r="F904" s="9" t="str">
        <x:v>Clockwork Tortoise</x:v>
      </x:c>
      <x:c r="G904" s="9" t="str">
        <x:v>Sega</x:v>
      </x:c>
      <x:c r="H904" s="9" t="n">
        <x:v>1995</x:v>
      </x:c>
      <x:c r="I904" s="9" t="str">
        <x:v>Yes</x:v>
      </x:c>
      <x:c r="J904" s="9" t="str">
        <x:v>No</x:v>
      </x:c>
      <x:c r="K904" s="9" t="str">
        <x:v>Yes</x:v>
      </x:c>
      <x:c r="L904" s="9" t="str">
        <x:v>No</x:v>
      </x:c>
      <x:c r="M904" s="9" t="str">
        <x:v>Driving / action</x:v>
      </x:c>
      <x:c r="N904" s="9" t="str">
        <x:v>Animated</x:v>
      </x:c>
      <x:c r="O904" s="9" t="n">
        <x:v>4</x:v>
      </x:c>
      <x:c r="P904" s="9" t="str">
        <x:v>Cutscenes only</x:v>
      </x:c>
      <x:c r="Q904" s="9" t="str">
        <x:v>Released</x:v>
      </x:c>
      <x:c r="R904" s="9" t="str">
        <x:v>TV license (Batman: The Animated Series)</x:v>
      </x:c>
      <x:c r="S904" s="9" t="str">
        <x:v>Genesis and SNES (different games, no video)</x:v>
      </x:c>
      <x:c r="T904" s="9" t="str">
        <x:v>Kevin Conroy, Mark Hamill and the animated series' voice cast; written by Paul Dini</x:v>
      </x:c>
      <x:c r="U904" s="9" t="n">
        <x:v>1</x:v>
      </x:c>
      <x:c r="V904" s="9" t="str">
        <x:v>No (verify)</x:v>
      </x:c>
      <x:c r="W904" s="9" t="str">
        <x:v>Controller</x:v>
      </x:c>
      <x:c r="X904" s="9" t="str">
        <x:v>Med</x:v>
      </x:c>
      <x:c r="Y904" s="9" t="str">
        <x:v>Warner Bros. animation and the series' voice work</x:v>
      </x:c>
      <x:c r="Z904" s="9" t="str">
        <x:v>1–2 hr</x:v>
      </x:c>
      <x:c r="AA904" s="9" t="str">
        <x:v>About fifteen minutes of new Batman: The Animated Series footage, drawn by the show's animators and written by Paul Dini, wrapped around a Batmobile driving game.</x:v>
      </x:c>
      <x:c r="AB904" s="9" t="str">
        <x:v>None known</x:v>
      </x:c>
      <x:c r="AC904" s="9" t="str">
        <x:v>About 15 minutes of streamed cel animation between driving stages (window size verify)</x:v>
      </x:c>
      <x:c r="AD904" s="9" t="str">
        <x:v>Moderate</x:v>
      </x:c>
      <x:c r="AE904" s="9" t="str">
        <x:v>Single ending</x:v>
      </x:c>
      <x:c r="AF904" s="9" t="str">
        <x:v>EGM called it 'a CD full of cartoon episodes with a so-so driving game included to break up the animated sequences.' Spencer Nilsen scored it.</x:v>
      </x:c>
      <x:c r="AG904" s="9" t="str">
        <x:v>NA (1995), EU (Dec 1995)</x:v>
      </x:c>
      <x:c r="AH904" s="9" t="str">
        <x:v>No</x:v>
      </x:c>
      <x:c r="AI904" s="9" t="str">
        <x:v>Easy</x:v>
      </x:c>
      <x:c r="AJ904" s="9" t="str">
        <x:v>Original Sega CD, or emulation with the disc image; no re-release.</x:v>
      </x:c>
      <x:c r="AK904" s="9" t="str">
        <x:v>The animation is the reason to play it; reviews were mixed (EGM 6.5/5/8/6.5, GamePro 9/20, Next Generation 2/5).</x:v>
      </x:c>
      <x:c r="AL904" s="10"/>
      <x:c r="AM904" s="10"/>
      <x:c r="AN904" s="10"/>
      <x:c r="AO904" s="9"/>
      <x:c r="AP904" s="11" t="str">
        <x:f>HYPERLINK("https://www.pricecharting.com/search-products?q=The+Adventures+of+Batman+%26+Robin+sega+cd&amp;type=prices","PriceCharting")</x:f>
        <x:v>PriceCharting</x:v>
      </x:c>
      <x:c r="AQ904" s="9"/>
      <x:c r="AR904" s="9"/>
      <x:c r="AS904" s="9"/>
      <x:c r="AT904" s="9"/>
      <x:c r="AU904" s="9"/>
      <x:c r="AV904" s="9"/>
      <x:c r="AW904" s="9"/>
      <x:c r="AX904" s="9"/>
      <x:c r="AY904" s="9"/>
      <x:c r="AZ904" s="9"/>
      <x:c r="BA904" s="11" t="str">
        <x:f>HYPERLINK("https://www.mobygames.com/search/?q=The+Adventures+of+Batman+%26+Robin","MobyGames")</x:f>
        <x:v>MobyGames</x:v>
      </x:c>
      <x:c r="BB904" s="9" t="str">
        <x:v>54%</x:v>
      </x:c>
      <x:c r="BC904" s="9" t="str">
        <x:v>average of 3 reviews on Wikipedia (EGM 6.5/10, GamePro 9/20, Next Generation 2/5)</x:v>
      </x:c>
      <x:c r="BD904" s="9" t="str">
        <x:f>HYPERLINK("https://en.wikipedia.org/wiki/The_Adventures_of_Batman_%26_Robin_(video_game)","Source")</x:f>
        <x:v>Source</x:v>
      </x:c>
      <x:c r="BE904" s="11" t="str">
        <x:f>HYPERLINK("https://en.wikipedia.org/wiki/The_Adventures_of_Batman_%26_Robin_(video_game)","Wikipedia")</x:f>
        <x:v>Wikipedia</x:v>
      </x:c>
      <x:c r="BF904" s="11" t="str">
        <x:f>HYPERLINK("https://backloggd.com/search/games/The%20Adventures%20of%20Batman%20%26%20Robin/","Backloggd")</x:f>
        <x:v>Backloggd</x:v>
      </x:c>
      <x:c r="BG904" s="9"/>
      <x:c r="BH904" s="9"/>
      <x:c r="BI904" s="12" t="str">
        <x:v>No</x:v>
      </x:c>
      <x:c r="BJ904" s="12" t="str"/>
      <x:c r="BK904" s="12" t="str">
        <x:v>No</x:v>
      </x:c>
      <x:c r="BL904" s="12" t="str"/>
      <x:c r="BM904" s="12" t="str"/>
      <x:c r="BN904" s="12" t="str"/>
      <x:c r="BO904" s="12" t="str"/>
      <x:c r="BP904" s="12" t="str"/>
      <x:c r="BQ904" s="12" t="str"/>
    </x:row>
    <x:row r="905">
      <x:c r="A905" s="9" t="str">
        <x:v>3do-78</x:v>
      </x:c>
      <x:c r="B905" s="9" t="str">
        <x:v>space-hulk-vengeance-of-the-blood-angels</x:v>
      </x:c>
      <x:c r="C905" s="9" t="str">
        <x:v>3DO</x:v>
      </x:c>
      <x:c r="D905" s="9" t="str">
        <x:v>Space Hulk: Vengeance of the Blood Angels</x:v>
      </x:c>
      <x:c r="E905" s="9" t="str"/>
      <x:c r="F905" s="9" t="str">
        <x:v>Key Game</x:v>
      </x:c>
      <x:c r="G905" s="9" t="str">
        <x:v>Electronic Arts, Electronic Arts Victor (JP)</x:v>
      </x:c>
      <x:c r="H905" s="9" t="n">
        <x:v>1995</x:v>
      </x:c>
      <x:c r="I905" s="9" t="str">
        <x:v>Yes</x:v>
      </x:c>
      <x:c r="J905" s="9" t="str">
        <x:v>Yes</x:v>
      </x:c>
      <x:c r="K905" s="9" t="str">
        <x:v>Yes</x:v>
      </x:c>
      <x:c r="L905" s="9" t="str">
        <x:v>No</x:v>
      </x:c>
      <x:c r="M905" s="9" t="str">
        <x:v>First-person tactical action</x:v>
      </x:c>
      <x:c r="N905" s="9" t="str">
        <x:v>Live-action + CG</x:v>
      </x:c>
      <x:c r="O905" s="9" t="n">
        <x:v>3</x:v>
      </x:c>
      <x:c r="P905" s="9" t="str">
        <x:v>Cutscenes only</x:v>
      </x:c>
      <x:c r="Q905" s="9" t="str">
        <x:v>Released</x:v>
      </x:c>
      <x:c r="R905" s="9" t="str">
        <x:v>Games Workshop Space Hulk / Warhammer 40,000 licence</x:v>
      </x:c>
      <x:c r="S905" s="9" t="str">
        <x:v>Saturn, PlayStation, DOS/Windows (Krisalis ports)</x:v>
      </x:c>
      <x:c r="T905" s="9" t="str">
        <x:v>Unknown — verify</x:v>
      </x:c>
      <x:c r="U905" s="9" t="n">
        <x:v>1</x:v>
      </x:c>
      <x:c r="V905" s="9" t="str">
        <x:v>Yes (verify)</x:v>
      </x:c>
      <x:c r="W905" s="9" t="str">
        <x:v>Standard 3DO controller</x:v>
      </x:c>
      <x:c r="X905" s="9" t="str">
        <x:v>Low</x:v>
      </x:c>
      <x:c r="Y905" s="9" t="str"/>
      <x:c r="Z905" s="9" t="str">
        <x:v>8–12 hr</x:v>
      </x:c>
      <x:c r="AA905" s="9" t="str">
        <x:v>The original console Space Hulk: Blood Angels Terminators against Genestealers, the game Maximum called one of the most substantial on 3DO.</x:v>
      </x:c>
      <x:c r="AB905" s="9" t="str">
        <x:v>None known</x:v>
      </x:c>
      <x:c r="AC905" s="9" t="str">
        <x:v>FMV mission briefings and story cutscenes (live-action and CG, verify)</x:v>
      </x:c>
      <x:c r="AD905" s="9" t="str">
        <x:v>Hard; real-time squad orders under pressure</x:v>
      </x:c>
      <x:c r="AE905" s="9" t="str">
        <x:v>Single ending</x:v>
      </x:c>
      <x:c r="AF905" s="9" t="str">
        <x:v>Won 3DO Strategy/Puzzle Game of the Year; GamesMaster ranked it 3rd in its 1996 3DO top 10.</x:v>
      </x:c>
      <x:c r="AG905" s="9" t="str">
        <x:v>NA (13 Sep 1995), JP (1 Dec 1995, EA Victor), PAL (1995)</x:v>
      </x:c>
      <x:c r="AH905" s="9" t="str">
        <x:v>No</x:v>
      </x:c>
      <x:c r="AI905" s="9" t="str">
        <x:v>Easy</x:v>
      </x:c>
      <x:c r="AJ905" s="9" t="str">
        <x:v>Original 3DO (region-free), or the Opera core in RetroArch with the disc image.</x:v>
      </x:c>
      <x:c r="AK905" s="9" t="str">
        <x:v>The 3DO version came first; the Saturn record carries the same gameId. Reviews (Wikipedia): EGM 6.625/10, Next Generation 4/5, Maximum 4/5. What the FMV shows is from memory, not a source (verify).</x:v>
      </x:c>
      <x:c r="AL905" s="10"/>
      <x:c r="AM905" s="10"/>
      <x:c r="AN905" s="10"/>
      <x:c r="AO905" s="9"/>
      <x:c r="AP905" s="11" t="str">
        <x:f>HYPERLINK("https://www.pricecharting.com/search-products?q=Space+Hulk%3A+Vengeance+of+the+Blood+Angels+3do&amp;type=prices","PriceCharting")</x:f>
        <x:v>PriceCharting</x:v>
      </x:c>
      <x:c r="AQ905" s="9"/>
      <x:c r="AR905" s="9"/>
      <x:c r="AS905" s="9"/>
      <x:c r="AT905" s="9"/>
      <x:c r="AU905" s="9"/>
      <x:c r="AV905" s="9"/>
      <x:c r="AW905" s="9"/>
      <x:c r="AX905" s="9"/>
      <x:c r="AY905" s="9"/>
      <x:c r="AZ905" s="9"/>
      <x:c r="BA905" s="11" t="str">
        <x:f>HYPERLINK("https://www.mobygames.com/search/?q=Space+Hulk%3A+Vengeance+of+the+Blood+Angels","MobyGames")</x:f>
        <x:v>MobyGames</x:v>
      </x:c>
      <x:c r="BB905" s="9" t="str">
        <x:v>75%</x:v>
      </x:c>
      <x:c r="BC905" s="9" t="str">
        <x:v>average of 3 reviews on Wikipedia (EGM, Next Generation, Maximum)</x:v>
      </x:c>
      <x:c r="BD905" s="9" t="str">
        <x:f>HYPERLINK("https://en.wikipedia.org/wiki/Space_Hulk:_Vengeance_of_the_Blood_Angels","Source")</x:f>
        <x:v>Source</x:v>
      </x:c>
      <x:c r="BE905" s="11" t="str">
        <x:f>HYPERLINK("https://en.wikipedia.org/wiki/Space_Hulk:_Vengeance_of_the_Blood_Angels","Wikipedia")</x:f>
        <x:v>Wikipedia</x:v>
      </x:c>
      <x:c r="BF905" s="11" t="str">
        <x:f>HYPERLINK("https://backloggd.com/search/games/Space%20Hulk%3A%20Vengeance%20of%20the%20Blood%20Angels/","Backloggd")</x:f>
        <x:v>Backloggd</x:v>
      </x:c>
      <x:c r="BG905" s="9"/>
      <x:c r="BH905" s="9"/>
      <x:c r="BI905" s="12" t="str">
        <x:v>No</x:v>
      </x:c>
      <x:c r="BJ905" s="12" t="str"/>
      <x:c r="BK905" s="12" t="str">
        <x:v>No</x:v>
      </x:c>
      <x:c r="BL905" s="12" t="str"/>
      <x:c r="BM905" s="12" t="str"/>
      <x:c r="BN905" s="12" t="str"/>
      <x:c r="BO905" s="12" t="str"/>
      <x:c r="BP905" s="12" t="str"/>
      <x:c r="BQ905" s="12" t="str"/>
    </x:row>
    <x:row r="906">
      <x:c r="A906" s="9" t="str">
        <x:v>3do-79</x:v>
      </x:c>
      <x:c r="B906" s="9" t="str">
        <x:v>defcon-5</x:v>
      </x:c>
      <x:c r="C906" s="9" t="str">
        <x:v>3DO</x:v>
      </x:c>
      <x:c r="D906" s="9" t="str">
        <x:v>Defcon 5</x:v>
      </x:c>
      <x:c r="E906" s="9" t="str"/>
      <x:c r="F906" s="9" t="str">
        <x:v>Millennium Interactive</x:v>
      </x:c>
      <x:c r="G906" s="9" t="str">
        <x:v>GoldStar (PAL), Multisoft (JP)</x:v>
      </x:c>
      <x:c r="H906" s="9" t="n">
        <x:v>1995</x:v>
      </x:c>
      <x:c r="I906" s="9" t="str">
        <x:v>No</x:v>
      </x:c>
      <x:c r="J906" s="9" t="str">
        <x:v>Yes</x:v>
      </x:c>
      <x:c r="K906" s="9" t="str">
        <x:v>Yes</x:v>
      </x:c>
      <x:c r="L906" s="9" t="str">
        <x:v>No</x:v>
      </x:c>
      <x:c r="M906" s="9" t="str">
        <x:v>First-person action / strategy</x:v>
      </x:c>
      <x:c r="N906" s="9" t="str">
        <x:v>Pre-rendered CG</x:v>
      </x:c>
      <x:c r="O906" s="9" t="n">
        <x:v>3</x:v>
      </x:c>
      <x:c r="P906" s="9" t="str">
        <x:v>Pre-rendered CG</x:v>
      </x:c>
      <x:c r="Q906" s="9" t="str">
        <x:v>Released</x:v>
      </x:c>
      <x:c r="R906" s="9" t="str">
        <x:v>Original production</x:v>
      </x:c>
      <x:c r="S906" s="9" t="str">
        <x:v>PlayStation, Saturn, DOS</x:v>
      </x:c>
      <x:c r="T906" s="9" t="str">
        <x:v>—</x:v>
      </x:c>
      <x:c r="U906" s="9" t="n">
        <x:v>1</x:v>
      </x:c>
      <x:c r="V906" s="9" t="str">
        <x:v>Yes (verify)</x:v>
      </x:c>
      <x:c r="W906" s="9" t="str">
        <x:v>Standard 3DO controller</x:v>
      </x:c>
      <x:c r="X906" s="9" t="str">
        <x:v>Low</x:v>
      </x:c>
      <x:c r="Y906" s="9" t="str"/>
      <x:c r="Z906" s="9" t="str">
        <x:v>6–10 hr</x:v>
      </x:c>
      <x:c r="AA906" s="9" t="str">
        <x:v>The slow-burn base-defence game on 3DO, never released in North America.</x:v>
      </x:c>
      <x:c r="AB906" s="9" t="str">
        <x:v>None known</x:v>
      </x:c>
      <x:c r="AC906" s="9" t="str">
        <x:v>Pre-rendered CG intro and cinematic sequences (verify on 3DO)</x:v>
      </x:c>
      <x:c r="AD906" s="9" t="str">
        <x:v>Hard; unclear objectives and lots of walking</x:v>
      </x:c>
      <x:c r="AE906" s="9" t="str">
        <x:v>Escape with evidence; failure states otherwise (verify)</x:v>
      </x:c>
      <x:c r="AF906" s="9" t="str">
        <x:v>The 3DO version came out in PAL territories in 1995 and in Japan on 17 May 1996; it never reached North America.</x:v>
      </x:c>
      <x:c r="AG906" s="9" t="str">
        <x:v>PAL (GoldStar, 1995), JP (Multisoft, 1996)</x:v>
      </x:c>
      <x:c r="AH906" s="9" t="str">
        <x:v>No</x:v>
      </x:c>
      <x:c r="AI906" s="9" t="str">
        <x:v>Easy</x:v>
      </x:c>
      <x:c r="AJ906" s="9" t="str">
        <x:v>Original 3DO (region-free, so the PAL or JP disc works on any console), or the Opera core in RetroArch.</x:v>
      </x:c>
      <x:c r="AK906" s="9" t="str">
        <x:v>Regions and dates from Wikipedia's List of 3DO games. The PlayStation and Saturn records carry this gameId.</x:v>
      </x:c>
      <x:c r="AL906" s="10"/>
      <x:c r="AM906" s="10"/>
      <x:c r="AN906" s="10"/>
      <x:c r="AO906" s="9"/>
      <x:c r="AP906" s="11" t="str">
        <x:f>HYPERLINK("https://www.pricecharting.com/search-products?q=Defcon+5+3do&amp;type=prices","PriceCharting")</x:f>
        <x:v>PriceCharting</x:v>
      </x:c>
      <x:c r="AQ906" s="9"/>
      <x:c r="AR906" s="9"/>
      <x:c r="AS906" s="9"/>
      <x:c r="AT906" s="9"/>
      <x:c r="AU906" s="9"/>
      <x:c r="AV906" s="9"/>
      <x:c r="AW906" s="9"/>
      <x:c r="AX906" s="9"/>
      <x:c r="AY906" s="9"/>
      <x:c r="AZ906" s="9"/>
      <x:c r="BA906" s="11" t="str">
        <x:f>HYPERLINK("https://www.mobygames.com/search/?q=Defcon+5","MobyGames")</x:f>
        <x:v>MobyGames</x:v>
      </x:c>
      <x:c r="BB906" s="9"/>
      <x:c r="BC906" s="9"/>
      <x:c r="BD906" s="9"/>
      <x:c r="BE906" s="11" t="str">
        <x:f>HYPERLINK("https://en.wikipedia.org/wiki/Defcon_5_(1995_video_game)","Wikipedia")</x:f>
        <x:v>Wikipedia</x:v>
      </x:c>
      <x:c r="BF906" s="11" t="str">
        <x:f>HYPERLINK("https://backloggd.com/search/games/Defcon%205/","Backloggd")</x:f>
        <x:v>Backloggd</x:v>
      </x:c>
      <x:c r="BG906" s="9"/>
      <x:c r="BH906" s="9"/>
      <x:c r="BI906" s="12" t="str">
        <x:v>No</x:v>
      </x:c>
      <x:c r="BJ906" s="12" t="str"/>
      <x:c r="BK906" s="12" t="str">
        <x:v>No</x:v>
      </x:c>
      <x:c r="BL906" s="12" t="str"/>
      <x:c r="BM906" s="12" t="str"/>
      <x:c r="BN906" s="12" t="str"/>
      <x:c r="BO906" s="12" t="str"/>
      <x:c r="BP906" s="12" t="str"/>
      <x:c r="BQ906" s="12" t="str"/>
    </x:row>
    <x:row r="907">
      <x:c r="A907" s="9" t="str">
        <x:v>saturn-81</x:v>
      </x:c>
      <x:c r="B907" s="9" t="str">
        <x:v>creature-shock</x:v>
      </x:c>
      <x:c r="C907" s="9" t="str">
        <x:v>Sega Saturn</x:v>
      </x:c>
      <x:c r="D907" s="9" t="str">
        <x:v>Creature Shock: Special Edition</x:v>
      </x:c>
      <x:c r="E907" s="9" t="str">
        <x:v>Creature Shock (JP)</x:v>
      </x:c>
      <x:c r="F907" s="9" t="str">
        <x:v>Argonaut Software</x:v>
      </x:c>
      <x:c r="G907" s="9" t="str">
        <x:v>Data East (NA), Virgin Interactive (JP verify)</x:v>
      </x:c>
      <x:c r="H907" s="9" t="n">
        <x:v>1996</x:v>
      </x:c>
      <x:c r="I907" s="9" t="str">
        <x:v>Yes</x:v>
      </x:c>
      <x:c r="J907" s="9" t="str">
        <x:v>Yes</x:v>
      </x:c>
      <x:c r="K907" s="9" t="str">
        <x:v>No</x:v>
      </x:c>
      <x:c r="L907" s="9" t="str">
        <x:v>No</x:v>
      </x:c>
      <x:c r="M907" s="9" t="str">
        <x:v>Rail shooter / FMV exploration</x:v>
      </x:c>
      <x:c r="N907" s="9" t="str">
        <x:v>Pre-rendered CG</x:v>
      </x:c>
      <x:c r="O907" s="9" t="n">
        <x:v>8</x:v>
      </x:c>
      <x:c r="P907" s="9" t="str">
        <x:v>Pre-rendered CG</x:v>
      </x:c>
      <x:c r="Q907" s="9" t="str">
        <x:v>Released</x:v>
      </x:c>
      <x:c r="R907" s="9" t="str">
        <x:v>PC original (MS-DOS, 1994)</x:v>
      </x:c>
      <x:c r="S907" s="9" t="str">
        <x:v>MS-DOS, 3DO, CD-i, Jaguar CD (cancelled), PlayStation (JP)</x:v>
      </x:c>
      <x:c r="T907" s="9" t="str">
        <x:v>—</x:v>
      </x:c>
      <x:c r="U907" s="9" t="n">
        <x:v>2</x:v>
      </x:c>
      <x:c r="V907" s="9" t="str">
        <x:v>No (verify)</x:v>
      </x:c>
      <x:c r="W907" s="9" t="str">
        <x:v>Standard control pad</x:v>
      </x:c>
      <x:c r="X907" s="9" t="str">
        <x:v>Low</x:v>
      </x:c>
      <x:c r="Y907" s="9" t="str"/>
      <x:c r="Z907" s="9" t="str">
        <x:v>2–3 hr</x:v>
      </x:c>
      <x:c r="AA907" s="9" t="str">
        <x:v>Argonaut's gigabyte-sized alien hunt, rebuilt for Saturn with two polygon rail-shooter levels in place of the video ones.</x:v>
      </x:c>
      <x:c r="AB907" s="9" t="str">
        <x:v>None known</x:v>
      </x:c>
      <x:c r="AC907" s="9" t="str">
        <x:v>Pre-rendered video exploration levels; the two rail-shooter levels are real-time polygons in the Special Edition; sound drops out at set points in cutscenes</x:v>
      </x:c>
      <x:c r="AD907" s="9" t="str">
        <x:v>Hard; single weapon and an unreliable cursor</x:v>
      </x:c>
      <x:c r="AE907" s="9" t="str">
        <x:v>Single ending</x:v>
      </x:c>
      <x:c r="AF907" s="9" t="str">
        <x:v>The final level is split across the two discs. GamePro called it 'a poor man's Cyberia'.</x:v>
      </x:c>
      <x:c r="AG907" s="9" t="str">
        <x:v>JP release (19 Jan 1996) is a different version with only the three FMV exploration levels; NA Special Edition (1996)</x:v>
      </x:c>
      <x:c r="AH907" s="9" t="str">
        <x:v>No</x:v>
      </x:c>
      <x:c r="AI907" s="9" t="str">
        <x:v>Easy</x:v>
      </x:c>
      <x:c r="AJ907" s="9" t="str">
        <x:v>Original Saturn with the NA discs, or emulation with the disc images.</x:v>
      </x:c>
      <x:c r="AK907" s="9" t="str">
        <x:v>Wikipedia: IGN 2/10, Next Generation 1/5. Level 3 sometimes doesn't end when its boss is beaten.</x:v>
      </x:c>
      <x:c r="AL907" s="10"/>
      <x:c r="AM907" s="10"/>
      <x:c r="AN907" s="10"/>
      <x:c r="AO907" s="9"/>
      <x:c r="AP907" s="11" t="str">
        <x:f>HYPERLINK("https://www.pricecharting.com/search-products?q=Creature+Shock%3A+Special+Edition+saturn&amp;type=prices","PriceCharting")</x:f>
        <x:v>PriceCharting</x:v>
      </x:c>
      <x:c r="AQ907" s="9"/>
      <x:c r="AR907" s="9"/>
      <x:c r="AS907" s="9"/>
      <x:c r="AT907" s="9"/>
      <x:c r="AU907" s="9"/>
      <x:c r="AV907" s="9"/>
      <x:c r="AW907" s="9"/>
      <x:c r="AX907" s="9"/>
      <x:c r="AY907" s="9"/>
      <x:c r="AZ907" s="9"/>
      <x:c r="BA907" s="11" t="str">
        <x:f>HYPERLINK("https://www.mobygames.com/search/?q=Creature+Shock%3A+Special+Edition","MobyGames")</x:f>
        <x:v>MobyGames</x:v>
      </x:c>
      <x:c r="BB907" s="9" t="str">
        <x:v>20%</x:v>
      </x:c>
      <x:c r="BC907" s="9" t="str">
        <x:v>average of 2 reviews on Wikipedia (IGN 2/10, Next Generation 1/5)</x:v>
      </x:c>
      <x:c r="BD907" s="9" t="str">
        <x:f>HYPERLINK("https://en.wikipedia.org/wiki/Creature_Shock","Source")</x:f>
        <x:v>Source</x:v>
      </x:c>
      <x:c r="BE907" s="11" t="str">
        <x:f>HYPERLINK("https://en.wikipedia.org/wiki/Creature_Shock","Wikipedia")</x:f>
        <x:v>Wikipedia</x:v>
      </x:c>
      <x:c r="BF907" s="11" t="str">
        <x:f>HYPERLINK("https://backloggd.com/search/games/Creature%20Shock%3A%20Special%20Edition/","Backloggd")</x:f>
        <x:v>Backloggd</x:v>
      </x:c>
      <x:c r="BG907" s="9"/>
      <x:c r="BH907" s="9"/>
      <x:c r="BI907" s="12" t="str">
        <x:v>No</x:v>
      </x:c>
      <x:c r="BJ907" s="12" t="str"/>
      <x:c r="BK907" s="12" t="str">
        <x:v>No</x:v>
      </x:c>
      <x:c r="BL907" s="12" t="str"/>
      <x:c r="BM907" s="12" t="str"/>
      <x:c r="BN907" s="12" t="str"/>
      <x:c r="BO907" s="12" t="str"/>
      <x:c r="BP907" s="12" t="str"/>
      <x:c r="BQ907" s="12" t="str"/>
    </x:row>
    <x:row r="908">
      <x:c r="A908" s="9" t="str">
        <x:v>ps1-115</x:v>
      </x:c>
      <x:c r="B908" s="9" t="str">
        <x:v>creature-shock</x:v>
      </x:c>
      <x:c r="C908" s="9" t="str">
        <x:v>PlayStation</x:v>
      </x:c>
      <x:c r="D908" s="9" t="str">
        <x:v>Creature Shock</x:v>
      </x:c>
      <x:c r="E908" s="9" t="str"/>
      <x:c r="F908" s="9" t="str">
        <x:v>Argonaut Software</x:v>
      </x:c>
      <x:c r="G908" s="9" t="str">
        <x:v>Virgin Interactive (JP verify)</x:v>
      </x:c>
      <x:c r="H908" s="9" t="n">
        <x:v>1996</x:v>
      </x:c>
      <x:c r="I908" s="9" t="str">
        <x:v>No</x:v>
      </x:c>
      <x:c r="J908" s="9" t="str">
        <x:v>Yes</x:v>
      </x:c>
      <x:c r="K908" s="9" t="str">
        <x:v>No</x:v>
      </x:c>
      <x:c r="L908" s="9" t="str">
        <x:v>No</x:v>
      </x:c>
      <x:c r="M908" s="9" t="str">
        <x:v>FMV exploration shooter</x:v>
      </x:c>
      <x:c r="N908" s="9" t="str">
        <x:v>Pre-rendered CG</x:v>
      </x:c>
      <x:c r="O908" s="9" t="n">
        <x:v>9</x:v>
      </x:c>
      <x:c r="P908" s="9" t="str">
        <x:v>Pre-rendered CG</x:v>
      </x:c>
      <x:c r="Q908" s="9" t="str">
        <x:v>Released</x:v>
      </x:c>
      <x:c r="R908" s="9" t="str">
        <x:v>PC original (MS-DOS, 1994)</x:v>
      </x:c>
      <x:c r="S908" s="9" t="str">
        <x:v>MS-DOS, 3DO, CD-i, Saturn</x:v>
      </x:c>
      <x:c r="T908" s="9" t="str">
        <x:v>—</x:v>
      </x:c>
      <x:c r="U908" s="9" t="n">
        <x:v>2</x:v>
      </x:c>
      <x:c r="V908" s="9" t="str">
        <x:v>No (verify)</x:v>
      </x:c>
      <x:c r="W908" s="9" t="str">
        <x:v>Controller</x:v>
      </x:c>
      <x:c r="X908" s="9" t="str">
        <x:v>Low</x:v>
      </x:c>
      <x:c r="Y908" s="9" t="str"/>
      <x:c r="Z908" s="9" t="str">
        <x:v>1–2 hr</x:v>
      </x:c>
      <x:c r="AA908" s="9" t="str">
        <x:v>The Japan-only PlayStation Creature Shock: just the three pre-rendered exploration levels, no rail shooting.</x:v>
      </x:c>
      <x:c r="AB908" s="9" t="str">
        <x:v>None known</x:v>
      </x:c>
      <x:c r="AC908" s="9" t="str">
        <x:v>Pre-rendered video exploration levels only (window size verify)</x:v>
      </x:c>
      <x:c r="AD908" s="9" t="str">
        <x:v>Hard; single weapon and a slow cursor</x:v>
      </x:c>
      <x:c r="AE908" s="9" t="str">
        <x:v>Single ending</x:v>
      </x:c>
      <x:c r="AF908" s="9" t="str">
        <x:v>Like the Japanese Saturn release, it drops the rail-shooter levels.</x:v>
      </x:c>
      <x:c r="AG908" s="9" t="str">
        <x:v>JP only (SLPS-00120, 23 Aug 1996)</x:v>
      </x:c>
      <x:c r="AH908" s="9" t="str">
        <x:v>No</x:v>
      </x:c>
      <x:c r="AI908" s="9" t="str">
        <x:v>Import</x:v>
      </x:c>
      <x:c r="AJ908" s="9" t="str">
        <x:v>Japanese PlayStation or a modded console, or DuckStation with the disc image.</x:v>
      </x:c>
      <x:c r="AK908" s="9" t="str">
        <x:v>Release date and contents from Wikipedia; serial from PlayStation Datacenter. Disc count verify.</x:v>
      </x:c>
      <x:c r="AL908" s="10"/>
      <x:c r="AM908" s="10"/>
      <x:c r="AN908" s="10"/>
      <x:c r="AO908" s="9"/>
      <x:c r="AP908" s="11" t="str">
        <x:f>HYPERLINK("https://www.pricecharting.com/search-products?q=Creature+Shock+playstation&amp;type=prices","PriceCharting")</x:f>
        <x:v>PriceCharting</x:v>
      </x:c>
      <x:c r="AQ908" s="9"/>
      <x:c r="AR908" s="9"/>
      <x:c r="AS908" s="9"/>
      <x:c r="AT908" s="9"/>
      <x:c r="AU908" s="9"/>
      <x:c r="AV908" s="9"/>
      <x:c r="AW908" s="9"/>
      <x:c r="AX908" s="9"/>
      <x:c r="AY908" s="9"/>
      <x:c r="AZ908" s="9"/>
      <x:c r="BA908" s="11" t="str">
        <x:f>HYPERLINK("https://www.mobygames.com/search/?q=Creature+Shock","MobyGames")</x:f>
        <x:v>MobyGames</x:v>
      </x:c>
      <x:c r="BB908" s="9"/>
      <x:c r="BC908" s="9"/>
      <x:c r="BD908" s="9"/>
      <x:c r="BE908" s="11" t="str">
        <x:f>HYPERLINK("https://en.wikipedia.org/wiki/Creature_Shock","Wikipedia")</x:f>
        <x:v>Wikipedia</x:v>
      </x:c>
      <x:c r="BF908" s="11" t="str">
        <x:f>HYPERLINK("https://backloggd.com/search/games/Creature%20Shock/","Backloggd")</x:f>
        <x:v>Backloggd</x:v>
      </x:c>
      <x:c r="BG908" s="9"/>
      <x:c r="BH908" s="9"/>
      <x:c r="BI908" s="12" t="str">
        <x:v>No</x:v>
      </x:c>
      <x:c r="BJ908" s="12" t="str"/>
      <x:c r="BK908" s="12" t="str">
        <x:v>No</x:v>
      </x:c>
      <x:c r="BL908" s="12" t="str"/>
      <x:c r="BM908" s="12" t="str"/>
      <x:c r="BN908" s="12" t="str"/>
      <x:c r="BO908" s="12" t="str"/>
      <x:c r="BP908" s="12" t="str"/>
      <x:c r="BQ908" s="12" t="str"/>
    </x:row>
    <x:row r="909">
      <x:c r="A909" s="9" t="str">
        <x:v>jaguarcd-19</x:v>
      </x:c>
      <x:c r="B909" s="9" t="str">
        <x:v>american-hero</x:v>
      </x:c>
      <x:c r="C909" s="9" t="str">
        <x:v>Atari Jaguar CD</x:v>
      </x:c>
      <x:c r="D909" s="9" t="str">
        <x:v>American Hero</x:v>
      </x:c>
      <x:c r="E909" s="9" t="str"/>
      <x:c r="F909" s="9" t="str">
        <x:v>Inter-Active Productions</x:v>
      </x:c>
      <x:c r="G909" s="9" t="str">
        <x:v>Atari Corporation (planned); Ziggurat Interactive (2021 remaster)</x:v>
      </x:c>
      <x:c r="H909" s="9" t="n">
        <x:v>1994</x:v>
      </x:c>
      <x:c r="I909" s="9" t="str">
        <x:v>No</x:v>
      </x:c>
      <x:c r="J909" s="9" t="str">
        <x:v>No</x:v>
      </x:c>
      <x:c r="K909" s="9" t="str">
        <x:v>No</x:v>
      </x:c>
      <x:c r="L909" s="9" t="str">
        <x:v>No</x:v>
      </x:c>
      <x:c r="M909" s="9" t="str">
        <x:v>Interactive movie</x:v>
      </x:c>
      <x:c r="N909" s="9" t="str">
        <x:v>Live-action</x:v>
      </x:c>
      <x:c r="O909" s="9" t="n">
        <x:v>10</x:v>
      </x:c>
      <x:c r="P909" s="9" t="str">
        <x:v>Prototype</x:v>
      </x:c>
      <x:c r="Q909" s="9" t="str">
        <x:v>Prototype dumped</x:v>
      </x:c>
      <x:c r="R909" s="9" t="str">
        <x:v>Original production</x:v>
      </x:c>
      <x:c r="S909" s="9" t="str">
        <x:v>PC prototype; remastered 2021 by Empty Clip Studios for Windows and consoles</x:v>
      </x:c>
      <x:c r="T909" s="9" t="str">
        <x:v>Timothy Bottoms, Gustav Vintas, Daniel Roebuck, Lawrence Tierney, Musetta Vander</x:v>
      </x:c>
      <x:c r="U909" s="9" t="n">
        <x:v>1</x:v>
      </x:c>
      <x:c r="V909" s="9" t="str">
        <x:v>Unknown — verify</x:v>
      </x:c>
      <x:c r="W909" s="9" t="str">
        <x:v>Jaguar CD</x:v>
      </x:c>
      <x:c r="X909" s="9" t="str">
        <x:v>Low</x:v>
      </x:c>
      <x:c r="Y909" s="9" t="str"/>
      <x:c r="Z909" s="9" t="str">
        <x:v>1 hr (verify)</x:v>
      </x:c>
      <x:c r="AA909" s="9" t="str">
        <x:v>A finished-but-cancelled Atari Jaguar CD interactive action movie with Lawrence Tierney, dug up and sold on modern consoles in 2021.</x:v>
      </x:c>
      <x:c r="AB909" s="9" t="str">
        <x:v>None known</x:v>
      </x:c>
      <x:c r="AC909" s="9" t="str">
        <x:v>Full-screen live-action video with quick-time A-button choices; GameFilm playback hides scene transitions (Jaguar CD frame rate verify)</x:v>
      </x:c>
      <x:c r="AD909" s="9" t="str">
        <x:v>Easy to moderate; trial and error at the choice points</x:v>
      </x:c>
      <x:c r="AE909" s="9" t="str">
        <x:v>Branching, several deaths and outcomes (count verify)</x:v>
      </x:c>
      <x:c r="AF909" s="9" t="str">
        <x:v>Cancelled when the Jaguar failed; prototype builds were sold by Jaguar fan groups and Hidden Palace has the disc. The 2021 version adds new narration by Timothy Bottoms.</x:v>
      </x:c>
      <x:c r="AG909" s="9" t="str">
        <x:v>Jaguar CD and PC prototypes; 2021 remaster</x:v>
      </x:c>
      <x:c r="AH909" s="9" t="str">
        <x:v>Yes (Steam/GOG, Switch, PS4, Xbox One; Ziggurat 2021, verify store list)</x:v>
      </x:c>
      <x:c r="AI909" s="9" t="str">
        <x:v>Easy</x:v>
      </x:c>
      <x:c r="AJ909" s="9" t="str">
        <x:v>The 2021 remaster on PC and consoles; the Jaguar CD prototype runs in BigPEmu.</x:v>
      </x:c>
      <x:c r="AK909" s="9" t="str">
        <x:v>Year is the cancelled 1994–95 production (verify). Has uncensored nudity. The remaster belongs in modern, not as a PC record.</x:v>
      </x:c>
      <x:c r="AL909" s="10"/>
      <x:c r="AM909" s="10"/>
      <x:c r="AN909" s="10"/>
      <x:c r="AO909" s="9"/>
      <x:c r="AP909" s="11" t="str">
        <x:f>HYPERLINK("https://www.pricecharting.com/search-products?q=American+Hero+jaguar+cd&amp;type=prices","PriceCharting")</x:f>
        <x:v>PriceCharting</x:v>
      </x:c>
      <x:c r="AQ909" s="9"/>
      <x:c r="AR909" s="9"/>
      <x:c r="AS909" s="9"/>
      <x:c r="AT909" s="9"/>
      <x:c r="AU909" s="9"/>
      <x:c r="AV909" s="9"/>
      <x:c r="AW909" s="9"/>
      <x:c r="AX909" s="9"/>
      <x:c r="AY909" s="9"/>
      <x:c r="AZ909" s="9"/>
      <x:c r="BA909" s="11" t="str">
        <x:f>HYPERLINK("https://www.mobygames.com/search/?q=American+Hero","MobyGames")</x:f>
        <x:v>MobyGames</x:v>
      </x:c>
      <x:c r="BB909" s="9"/>
      <x:c r="BC909" s="9"/>
      <x:c r="BD909" s="9"/>
      <x:c r="BE909" s="11" t="str">
        <x:f>HYPERLINK("https://en.wikipedia.org/wiki/American_Hero_(video_game)","Wikipedia")</x:f>
        <x:v>Wikipedia</x:v>
      </x:c>
      <x:c r="BF909" s="11" t="str">
        <x:f>HYPERLINK("https://backloggd.com/search/games/American%20Hero/","Backloggd")</x:f>
        <x:v>Backloggd</x:v>
      </x:c>
      <x:c r="BG909" s="9"/>
      <x:c r="BH909" s="9"/>
      <x:c r="BI909" s="12" t="str">
        <x:v>No</x:v>
      </x:c>
      <x:c r="BJ909" s="12" t="str"/>
      <x:c r="BK909" s="12" t="str">
        <x:v>No</x:v>
      </x:c>
      <x:c r="BL909" s="12" t="str"/>
      <x:c r="BM909" s="12" t="str"/>
      <x:c r="BN909" s="12" t="str"/>
      <x:c r="BO909" s="12" t="str"/>
      <x:c r="BP909" s="12" t="str"/>
      <x:c r="BQ909" s="12" t="str"/>
    </x:row>
    <x:row r="910">
      <x:c r="A910" s="9" t="str">
        <x:v>pc-229</x:v>
      </x:c>
      <x:c r="B910" s="9" t="str">
        <x:v>klaymen-klaymen</x:v>
      </x:c>
      <x:c r="C910" s="9" t="str">
        <x:v>PC</x:v>
      </x:c>
      <x:c r="D910" s="9" t="str">
        <x:v>The Neverhood</x:v>
      </x:c>
      <x:c r="E910" s="9" t="str"/>
      <x:c r="F910" s="9" t="str">
        <x:v>The Neverhood, Inc.</x:v>
      </x:c>
      <x:c r="G910" s="9" t="str">
        <x:v>DreamWorks Interactive</x:v>
      </x:c>
      <x:c r="H910" s="9" t="n">
        <x:v>1996</x:v>
      </x:c>
      <x:c r="I910" s="9" t="str">
        <x:v>Yes</x:v>
      </x:c>
      <x:c r="J910" s="9" t="str">
        <x:v>No</x:v>
      </x:c>
      <x:c r="K910" s="9" t="str">
        <x:v>No</x:v>
      </x:c>
      <x:c r="L910" s="9" t="str">
        <x:v>No</x:v>
      </x:c>
      <x:c r="M910" s="9" t="str">
        <x:v>Point-and-click adventure</x:v>
      </x:c>
      <x:c r="N910" s="9" t="str">
        <x:v>Animated</x:v>
      </x:c>
      <x:c r="O910" s="9" t="n">
        <x:v>5</x:v>
      </x:c>
      <x:c r="P910" s="9" t="str">
        <x:v>FMV adventure</x:v>
      </x:c>
      <x:c r="Q910" s="9" t="str">
        <x:v>Released</x:v>
      </x:c>
      <x:c r="R910" s="9" t="str">
        <x:v>Original production</x:v>
      </x:c>
      <x:c r="S910" s="9" t="str">
        <x:v>PlayStation (Japan, as Klaymen Klaymen, 1998)</x:v>
      </x:c>
      <x:c r="T910" s="9" t="str">
        <x:v>Doug TenNapel and Mark Lorenzen (design); music by Terry Scott Taylor</x:v>
      </x:c>
      <x:c r="U910" s="9" t="n">
        <x:v>1</x:v>
      </x:c>
      <x:c r="V910" s="9" t="str">
        <x:v>Yes</x:v>
      </x:c>
      <x:c r="W910" s="9" t="str">
        <x:v>Windows 95, mouse (spec verify)</x:v>
      </x:c>
      <x:c r="X910" s="9" t="str">
        <x:v>Low</x:v>
      </x:c>
      <x:c r="Y910" s="9" t="str"/>
      <x:c r="Z910" s="9" t="str">
        <x:v>4–6 hr</x:v>
      </x:c>
      <x:c r="AA910" s="9" t="str">
        <x:v>Every set and character is clay: Doug TenNapel's stop-motion puzzle world, with the most notorious corridor in adventure games.</x:v>
      </x:c>
      <x:c r="AB910" s="9" t="str">
        <x:v>None known</x:v>
      </x:c>
      <x:c r="AC910" s="9" t="str">
        <x:v>Streamed claymation movies for cutscenes and room transitions; the Hall of Records is told through collectible video discs</x:v>
      </x:c>
      <x:c r="AD910" s="9" t="str">
        <x:v>Moderate puzzles, plus the Hall of Records walk</x:v>
      </x:c>
      <x:c r="AE910" s="9" t="str">
        <x:v>Two endings</x:v>
      </x:c>
      <x:c r="AF910" s="9" t="str">
        <x:v>Terry Scott Taylor's soundtrack won GMR's best game music of the year; ScummVM has supported the game since 1.7.0 (2014).</x:v>
      </x:c>
      <x:c r="AG910" s="9" t="str">
        <x:v>NA (Oct 1996); the Japanese PlayStation port drops the Hall of Records</x:v>
      </x:c>
      <x:c r="AH910" s="9" t="str">
        <x:v>No</x:v>
      </x:c>
      <x:c r="AI910" s="9" t="str">
        <x:v>Easy</x:v>
      </x:c>
      <x:c r="AJ910" s="9" t="str">
        <x:v>Original disc in ScummVM.</x:v>
      </x:c>
      <x:c r="AK910" s="9" t="str">
        <x:v>Reviews (Wikipedia): CGW 4/5, GameSpot 4.9/10, PC Gamer UK 29%, PC Gamer US 40%, CGSP 5/5. Not sold digitally (rights unclear).</x:v>
      </x:c>
      <x:c r="AL910" s="10"/>
      <x:c r="AM910" s="10"/>
      <x:c r="AN910" s="10"/>
      <x:c r="AO910" s="9"/>
      <x:c r="AP910" s="11" t="str">
        <x:f>HYPERLINK("https://www.pricecharting.com/search-products?q=The+Neverhood+pc+games&amp;type=prices","PriceCharting")</x:f>
        <x:v>PriceCharting</x:v>
      </x:c>
      <x:c r="AQ910" s="9"/>
      <x:c r="AR910" s="9"/>
      <x:c r="AS910" s="9"/>
      <x:c r="AT910" s="9"/>
      <x:c r="AU910" s="9" t="str">
        <x:v>No market</x:v>
      </x:c>
      <x:c r="AV910" s="9" t="str">
        <x:v>Not sold on Steam or GOG (checked 2026-10-25) and no PriceCharting listing.</x:v>
      </x:c>
      <x:c r="AW910" s="9"/>
      <x:c r="AX910" s="9"/>
      <x:c r="AY910" s="9"/>
      <x:c r="AZ910" s="9"/>
      <x:c r="BA910" s="11" t="str">
        <x:f>HYPERLINK("https://www.mobygames.com/search/?q=The+Neverhood","MobyGames")</x:f>
        <x:v>MobyGames</x:v>
      </x:c>
      <x:c r="BB910" s="9" t="str">
        <x:v>57%</x:v>
      </x:c>
      <x:c r="BC910" s="9" t="str">
        <x:v>average of 4 reviews from PC-only magazines on Wikipedia (CGW, PC Magazine, PCGUK, PCGUS)</x:v>
      </x:c>
      <x:c r="BD910" s="9" t="str">
        <x:f>HYPERLINK("https://en.wikipedia.org/wiki/The_Neverhood","Source")</x:f>
        <x:v>Source</x:v>
      </x:c>
      <x:c r="BE910" s="11" t="str">
        <x:f>HYPERLINK("https://en.wikipedia.org/wiki/The_Neverhood","Wikipedia")</x:f>
        <x:v>Wikipedia</x:v>
      </x:c>
      <x:c r="BF910" s="11" t="str">
        <x:f>HYPERLINK("https://backloggd.com/search/games/The%20Neverhood/","Backloggd")</x:f>
        <x:v>Backloggd</x:v>
      </x:c>
      <x:c r="BG910" s="9"/>
      <x:c r="BH910" s="9"/>
      <x:c r="BI910" s="12" t="str">
        <x:v>No</x:v>
      </x:c>
      <x:c r="BJ910" s="12" t="str"/>
      <x:c r="BK910" s="12" t="str">
        <x:v>No</x:v>
      </x:c>
      <x:c r="BL910" s="12" t="str"/>
      <x:c r="BM910" s="12" t="str"/>
      <x:c r="BN910" s="12" t="str"/>
      <x:c r="BO910" s="12" t="str"/>
      <x:c r="BP910" s="12" t="str"/>
      <x:c r="BQ910" s="12" t="str"/>
    </x:row>
    <x:row r="911">
      <x:c r="A911" s="9" t="str">
        <x:v>pc-230</x:v>
      </x:c>
      <x:c r="B911" s="9" t="str">
        <x:v>cadillacs-and-dinosaurs-the-second-cataclysm</x:v>
      </x:c>
      <x:c r="C911" s="9" t="str">
        <x:v>PC</x:v>
      </x:c>
      <x:c r="D911" s="9" t="str">
        <x:v>Cadillacs and Dinosaurs: The Second Cataclysm</x:v>
      </x:c>
      <x:c r="E911" s="9" t="str"/>
      <x:c r="F911" s="9" t="str">
        <x:v>Rocket Science Games</x:v>
      </x:c>
      <x:c r="G911" s="9" t="str">
        <x:v>Rocket Science Games</x:v>
      </x:c>
      <x:c r="H911" s="9" t="n">
        <x:v>1994</x:v>
      </x:c>
      <x:c r="I911" s="9" t="str">
        <x:v>Yes</x:v>
      </x:c>
      <x:c r="J911" s="9" t="str">
        <x:v>No</x:v>
      </x:c>
      <x:c r="K911" s="9" t="str">
        <x:v>No</x:v>
      </x:c>
      <x:c r="L911" s="9" t="str">
        <x:v>No</x:v>
      </x:c>
      <x:c r="M911" s="9" t="str">
        <x:v>Rail shooter</x:v>
      </x:c>
      <x:c r="N911" s="9" t="str">
        <x:v>Pre-rendered CG</x:v>
      </x:c>
      <x:c r="O911" s="9" t="n">
        <x:v>9</x:v>
      </x:c>
      <x:c r="P911" s="9" t="str">
        <x:v>Pre-rendered CG</x:v>
      </x:c>
      <x:c r="Q911" s="9" t="str">
        <x:v>Released</x:v>
      </x:c>
      <x:c r="R911" s="9" t="str">
        <x:v>Comic license (Xenozoic Tales; the 1993 animated series)</x:v>
      </x:c>
      <x:c r="S911" s="9" t="str">
        <x:v>Sega CD (1994)</x:v>
      </x:c>
      <x:c r="T911" s="9" t="str">
        <x:v>—</x:v>
      </x:c>
      <x:c r="U911" s="9" t="n">
        <x:v>1</x:v>
      </x:c>
      <x:c r="V911" s="9" t="str">
        <x:v>Unknown — verify</x:v>
      </x:c>
      <x:c r="W911" s="9" t="str">
        <x:v>MS-DOS, CD-ROM (spec verify)</x:v>
      </x:c>
      <x:c r="X911" s="9" t="str">
        <x:v>Low</x:v>
      </x:c>
      <x:c r="Y911" s="9" t="str"/>
      <x:c r="Z911" s="9" t="str">
        <x:v>1–2 hr (verify)</x:v>
      </x:c>
      <x:c r="AA911" s="9" t="str">
        <x:v>Rocket Science's Cadillac-and-dinosaurs rail shooter over streamed CG, on DOS.</x:v>
      </x:c>
      <x:c r="AB911" s="9" t="str">
        <x:v>None known</x:v>
      </x:c>
      <x:c r="AC911" s="9" t="str">
        <x:v>Streamed pre-rendered CG playfield with sprite targets (resolution verify)</x:v>
      </x:c>
      <x:c r="AD911" s="9" t="str">
        <x:v>Moderate (verify)</x:v>
      </x:c>
      <x:c r="AE911" s="9" t="str">
        <x:v>Single ending (verify)</x:v>
      </x:c>
      <x:c r="AF911" s="9" t="str">
        <x:v>Made after Loadstar; Rocket Science closed in 1997.</x:v>
      </x:c>
      <x:c r="AG911" s="9" t="str"/>
      <x:c r="AH911" s="9" t="str">
        <x:v>No</x:v>
      </x:c>
      <x:c r="AI911" s="9" t="str">
        <x:v>Easy</x:v>
      </x:c>
      <x:c r="AJ911" s="9" t="str">
        <x:v>Original disc in DOSBox.</x:v>
      </x:c>
      <x:c r="AK911" s="9" t="str">
        <x:v>Same game as the Sega CD record. DOS release year 1994 per the Wikipedia infobox (verify).</x:v>
      </x:c>
      <x:c r="AL911" s="10"/>
      <x:c r="AM911" s="10"/>
      <x:c r="AN911" s="10"/>
      <x:c r="AO911" s="9"/>
      <x:c r="AP911" s="11" t="str">
        <x:f>HYPERLINK("https://www.pricecharting.com/search-products?q=Cadillacs+and+Dinosaurs%3A+The+Second+Cataclysm+pc+games&amp;type=prices","PriceCharting")</x:f>
        <x:v>PriceCharting</x:v>
      </x:c>
      <x:c r="AQ911" s="9"/>
      <x:c r="AR911" s="9"/>
      <x:c r="AS911" s="9"/>
      <x:c r="AT911" s="9"/>
      <x:c r="AU911" s="9" t="str">
        <x:v>No market</x:v>
      </x:c>
      <x:c r="AV911" s="9" t="str">
        <x:v>Not sold on Steam or GOG (checked 2026-10-25) and no PriceCharting listing.</x:v>
      </x:c>
      <x:c r="AW911" s="9"/>
      <x:c r="AX911" s="9"/>
      <x:c r="AY911" s="9"/>
      <x:c r="AZ911" s="9"/>
      <x:c r="BA911" s="11" t="str">
        <x:f>HYPERLINK("https://www.mobygames.com/game/10440/","MobyGames")</x:f>
        <x:v>MobyGames</x:v>
      </x:c>
      <x:c r="BB911" s="9"/>
      <x:c r="BC911" s="9"/>
      <x:c r="BD911" s="9"/>
      <x:c r="BE911" s="11" t="str">
        <x:f>HYPERLINK("https://en.wikipedia.org/wiki/Cadillacs_and_Dinosaurs:_The_Second_Cataclysm","Wikipedia")</x:f>
        <x:v>Wikipedia</x:v>
      </x:c>
      <x:c r="BF911" s="11" t="str">
        <x:f>HYPERLINK("https://backloggd.com/search/games/Cadillacs%20and%20Dinosaurs%3A%20The%20Second%20Cataclysm/","Backloggd")</x:f>
        <x:v>Backloggd</x:v>
      </x:c>
      <x:c r="BG911" s="9"/>
      <x:c r="BH911" s="9"/>
      <x:c r="BI911" s="12" t="str">
        <x:v>No</x:v>
      </x:c>
      <x:c r="BJ911" s="12" t="str"/>
      <x:c r="BK911" s="12" t="str">
        <x:v>No</x:v>
      </x:c>
      <x:c r="BL911" s="12" t="str"/>
      <x:c r="BM911" s="12" t="str"/>
      <x:c r="BN911" s="12" t="str"/>
      <x:c r="BO911" s="12" t="str"/>
      <x:c r="BP911" s="12" t="str"/>
      <x:c r="BQ911" s="12" t="str"/>
    </x:row>
    <x:row r="912">
      <x:c r="A912" s="9" t="str">
        <x:v>pc-231</x:v>
      </x:c>
      <x:c r="B912" s="9" t="str">
        <x:v>a-fork-in-the-tale</x:v>
      </x:c>
      <x:c r="C912" s="9" t="str">
        <x:v>PC</x:v>
      </x:c>
      <x:c r="D912" s="9" t="str">
        <x:v>A Fork in the Tale</x:v>
      </x:c>
      <x:c r="E912" s="9" t="str"/>
      <x:c r="F912" s="9" t="str">
        <x:v>AnyRiver Entertainment</x:v>
      </x:c>
      <x:c r="G912" s="9" t="str">
        <x:v>Electronic Arts</x:v>
      </x:c>
      <x:c r="H912" s="9" t="n">
        <x:v>1997</x:v>
      </x:c>
      <x:c r="I912" s="9" t="str">
        <x:v>Yes</x:v>
      </x:c>
      <x:c r="J912" s="9" t="str">
        <x:v>No</x:v>
      </x:c>
      <x:c r="K912" s="9" t="str">
        <x:v>No</x:v>
      </x:c>
      <x:c r="L912" s="9" t="str">
        <x:v>No</x:v>
      </x:c>
      <x:c r="M912" s="9" t="str">
        <x:v>FMV adventure</x:v>
      </x:c>
      <x:c r="N912" s="9" t="str">
        <x:v>Live-action</x:v>
      </x:c>
      <x:c r="O912" s="9" t="n">
        <x:v>10</x:v>
      </x:c>
      <x:c r="P912" s="9" t="str">
        <x:v>Interactive movie</x:v>
      </x:c>
      <x:c r="Q912" s="9" t="str">
        <x:v>Released</x:v>
      </x:c>
      <x:c r="R912" s="9" t="str">
        <x:v>Original production</x:v>
      </x:c>
      <x:c r="S912" s="9" t="str">
        <x:v>—</x:v>
      </x:c>
      <x:c r="T912" s="9" t="str">
        <x:v>Rob Schneider (voice of the hero)</x:v>
      </x:c>
      <x:c r="U912" s="9" t="n">
        <x:v>5</x:v>
      </x:c>
      <x:c r="V912" s="9" t="str">
        <x:v>Yes (verify)</x:v>
      </x:c>
      <x:c r="W912" s="9" t="str">
        <x:v>Windows 95, mouse (spec verify)</x:v>
      </x:c>
      <x:c r="X912" s="9" t="str">
        <x:v>Low</x:v>
      </x:c>
      <x:c r="Y912" s="9" t="str"/>
      <x:c r="Z912" s="9" t="str">
        <x:v>6–10 hr (verify)</x:v>
      </x:c>
      <x:c r="AA912" s="9" t="str">
        <x:v>A five-disc first-person FMV comedy where Rob Schneider wisecracks over every clip and doing nothing in time counts as a choice.</x:v>
      </x:c>
      <x:c r="AB912" s="9" t="str">
        <x:v>None known</x:v>
      </x:c>
      <x:c r="AC912" s="9" t="str">
        <x:v>Full-screen first-person live-action video with clickable action icons that appear at set moments</x:v>
      </x:c>
      <x:c r="AD912" s="9" t="str">
        <x:v>Hard; timed choices and many dead ends</x:v>
      </x:c>
      <x:c r="AE912" s="9" t="str">
        <x:v>Branching, with many deaths (count verify)</x:v>
      </x:c>
      <x:c r="AF912" s="9" t="str">
        <x:v>Three and a half years and $2 million to make; it was AnyRiver's only game and the studio closed within months. A Digital Leisure DVD edition was planned but never released.</x:v>
      </x:c>
      <x:c r="AG912" s="9" t="str"/>
      <x:c r="AH912" s="9" t="str">
        <x:v>No</x:v>
      </x:c>
      <x:c r="AI912" s="9" t="str">
        <x:v>Easy</x:v>
      </x:c>
      <x:c r="AJ912" s="9" t="str">
        <x:v>Original discs on Windows 9x, or a Windows 98 VM / PCem (Windows 95 game; DOSBox won't run it).</x:v>
      </x:c>
      <x:c r="AK912" s="9" t="str">
        <x:v>Released 26 Feb 1997. Reviews (Wikipedia): CGW 1.5/5, GameRevolution 3.5/5, GameSpot 3.7/10, Next Generation 1/5, PC PowerPlay 58%, PC Gamer 34%.</x:v>
      </x:c>
      <x:c r="AL912" s="10"/>
      <x:c r="AM912" s="10"/>
      <x:c r="AN912" s="10"/>
      <x:c r="AO912" s="9"/>
      <x:c r="AP912" s="11" t="str">
        <x:f>HYPERLINK("https://www.pricecharting.com/search-products?q=A+Fork+in+the+Tale+pc+games&amp;type=prices","PriceCharting")</x:f>
        <x:v>PriceCharting</x:v>
      </x:c>
      <x:c r="AQ912" s="9"/>
      <x:c r="AR912" s="9"/>
      <x:c r="AS912" s="9"/>
      <x:c r="AT912" s="9"/>
      <x:c r="AU912" s="9" t="str">
        <x:v>No market</x:v>
      </x:c>
      <x:c r="AV912" s="9" t="str">
        <x:v>Not sold on Steam or GOG (checked 2026-10-25) and no PriceCharting listing.</x:v>
      </x:c>
      <x:c r="AW912" s="9"/>
      <x:c r="AX912" s="9"/>
      <x:c r="AY912" s="9"/>
      <x:c r="AZ912" s="9"/>
      <x:c r="BA912" s="11" t="str">
        <x:f>HYPERLINK("https://www.mobygames.com/search/?q=A+Fork+in+the+Tale","MobyGames")</x:f>
        <x:v>MobyGames</x:v>
      </x:c>
      <x:c r="BB912" s="9" t="str">
        <x:v>40%</x:v>
      </x:c>
      <x:c r="BC912" s="9" t="str">
        <x:v>average of 6 reviews on Wikipedia</x:v>
      </x:c>
      <x:c r="BD912" s="9" t="str">
        <x:f>HYPERLINK("https://en.wikipedia.org/wiki/A_Fork_in_the_Tale","Source")</x:f>
        <x:v>Source</x:v>
      </x:c>
      <x:c r="BE912" s="11" t="str">
        <x:f>HYPERLINK("https://en.wikipedia.org/wiki/A_Fork_in_the_Tale","Wikipedia")</x:f>
        <x:v>Wikipedia</x:v>
      </x:c>
      <x:c r="BF912" s="11" t="str">
        <x:f>HYPERLINK("https://backloggd.com/search/games/A%20Fork%20in%20the%20Tale/","Backloggd")</x:f>
        <x:v>Backloggd</x:v>
      </x:c>
      <x:c r="BG912" s="9"/>
      <x:c r="BH912" s="9"/>
      <x:c r="BI912" s="12" t="str">
        <x:v>No</x:v>
      </x:c>
      <x:c r="BJ912" s="12" t="str"/>
      <x:c r="BK912" s="12" t="str">
        <x:v>No</x:v>
      </x:c>
      <x:c r="BL912" s="12" t="str"/>
      <x:c r="BM912" s="12" t="str"/>
      <x:c r="BN912" s="12" t="str"/>
      <x:c r="BO912" s="12" t="str"/>
      <x:c r="BP912" s="12" t="str"/>
      <x:c r="BQ912" s="12" t="str"/>
    </x:row>
    <x:row r="913">
      <x:c r="A913" s="9" t="str">
        <x:v>pc-232</x:v>
      </x:c>
      <x:c r="B913" s="9" t="str">
        <x:v>goosebumps-escape-from-horrorland</x:v>
      </x:c>
      <x:c r="C913" s="9" t="str">
        <x:v>PC</x:v>
      </x:c>
      <x:c r="D913" s="9" t="str">
        <x:v>Goosebumps: Escape from Horrorland</x:v>
      </x:c>
      <x:c r="E913" s="9" t="str"/>
      <x:c r="F913" s="9" t="str">
        <x:v>DreamWorks Interactive</x:v>
      </x:c>
      <x:c r="G913" s="9" t="str">
        <x:v>DreamWorks Interactive</x:v>
      </x:c>
      <x:c r="H913" s="9" t="n">
        <x:v>1996</x:v>
      </x:c>
      <x:c r="I913" s="9" t="str">
        <x:v>Yes</x:v>
      </x:c>
      <x:c r="J913" s="9" t="str">
        <x:v>No</x:v>
      </x:c>
      <x:c r="K913" s="9" t="str">
        <x:v>No</x:v>
      </x:c>
      <x:c r="L913" s="9" t="str">
        <x:v>No</x:v>
      </x:c>
      <x:c r="M913" s="9" t="str">
        <x:v>Interactive movie / adventure</x:v>
      </x:c>
      <x:c r="N913" s="9" t="str">
        <x:v>Live-action</x:v>
      </x:c>
      <x:c r="O913" s="9" t="n">
        <x:v>7</x:v>
      </x:c>
      <x:c r="P913" s="9" t="str">
        <x:v>Interactive movie</x:v>
      </x:c>
      <x:c r="Q913" s="9" t="str">
        <x:v>Released</x:v>
      </x:c>
      <x:c r="R913" s="9" t="str">
        <x:v>Book license (R. L. Stine's Goosebumps; sequel to One Day at HorrorLand)</x:v>
      </x:c>
      <x:c r="S913" s="9" t="str">
        <x:v>—</x:v>
      </x:c>
      <x:c r="T913" s="9" t="str">
        <x:v>Jeff Goldblum (Dracula), Isabella Rossellini (Lady Cadaver), Adam Wylie, Eric Lloyd; directed by Lawrence Guterman</x:v>
      </x:c>
      <x:c r="U913" s="9" t="n">
        <x:v>1</x:v>
      </x:c>
      <x:c r="V913" s="9" t="str">
        <x:v>Yes (verify)</x:v>
      </x:c>
      <x:c r="W913" s="9" t="str">
        <x:v>Windows 95, mouse (spec verify)</x:v>
      </x:c>
      <x:c r="X913" s="9" t="str">
        <x:v>Low–Med</x:v>
      </x:c>
      <x:c r="Y913" s="9" t="str">
        <x:v>Goosebumps theme (verify)</x:v>
      </x:c>
      <x:c r="Z913" s="9" t="str">
        <x:v>3–5 hr (verify)</x:v>
      </x:c>
      <x:c r="AA913" s="9" t="str">
        <x:v>Jeff Goldblum as Dracula in a live-action Goosebumps theme park: the 90s kids' FMV game people remember.</x:v>
      </x:c>
      <x:c r="AB913" s="9" t="str">
        <x:v>None known</x:v>
      </x:c>
      <x:c r="AC913" s="9" t="str">
        <x:v>Live-action actors filmed against blue screen, composited into rendered park scenes (verify)</x:v>
      </x:c>
      <x:c r="AD913" s="9" t="str">
        <x:v>Easy to moderate</x:v>
      </x:c>
      <x:c r="AE913" s="9" t="str">
        <x:v>Single ending (verify)</x:v>
      </x:c>
      <x:c r="AF913" s="9" t="str">
        <x:v>DreamWorks Interactive's best seller to that point (130,000 US copies by Aug 1997); a CGDC Spotlight finalist that lost to I Have No Mouth, and I Must Scream.</x:v>
      </x:c>
      <x:c r="AG913" s="9" t="str"/>
      <x:c r="AH913" s="9" t="str">
        <x:v>No</x:v>
      </x:c>
      <x:c r="AI913" s="9" t="str">
        <x:v>Easy</x:v>
      </x:c>
      <x:c r="AJ913" s="9" t="str">
        <x:v>Original disc on Windows 9x or a Windows 98 VM (verify compatibility on modern Windows).</x:v>
      </x:c>
      <x:c r="AK913" s="9" t="str">
        <x:v>No numeric review scores on Wikipedia.</x:v>
      </x:c>
      <x:c r="AL913" s="10"/>
      <x:c r="AM913" s="10"/>
      <x:c r="AN913" s="10"/>
      <x:c r="AO913" s="9"/>
      <x:c r="AP913" s="11" t="str">
        <x:f>HYPERLINK("https://www.pricecharting.com/search-products?q=Goosebumps%3A+Escape+from+Horrorland+pc+games&amp;type=prices","PriceCharting")</x:f>
        <x:v>PriceCharting</x:v>
      </x:c>
      <x:c r="AQ913" s="9"/>
      <x:c r="AR913" s="9"/>
      <x:c r="AS913" s="9"/>
      <x:c r="AT913" s="9"/>
      <x:c r="AU913" s="9" t="str">
        <x:v>No market</x:v>
      </x:c>
      <x:c r="AV913" s="9" t="str">
        <x:v>Not sold on Steam or GOG (checked 2026-10-25) and no PriceCharting listing.</x:v>
      </x:c>
      <x:c r="AW913" s="9"/>
      <x:c r="AX913" s="9"/>
      <x:c r="AY913" s="9"/>
      <x:c r="AZ913" s="9"/>
      <x:c r="BA913" s="11" t="str">
        <x:f>HYPERLINK("https://www.mobygames.com/search/?q=Goosebumps%3A+Escape+from+Horrorland","MobyGames")</x:f>
        <x:v>MobyGames</x:v>
      </x:c>
      <x:c r="BB913" s="9"/>
      <x:c r="BC913" s="9"/>
      <x:c r="BD913" s="9"/>
      <x:c r="BE913" s="11" t="str">
        <x:f>HYPERLINK("https://en.wikipedia.org/wiki/Goosebumps:_Escape_from_Horrorland","Wikipedia")</x:f>
        <x:v>Wikipedia</x:v>
      </x:c>
      <x:c r="BF913" s="11" t="str">
        <x:f>HYPERLINK("https://backloggd.com/search/games/Goosebumps%3A%20Escape%20from%20Horrorland/","Backloggd")</x:f>
        <x:v>Backloggd</x:v>
      </x:c>
      <x:c r="BG913" s="9"/>
      <x:c r="BH913" s="9"/>
      <x:c r="BI913" s="12" t="str">
        <x:v>No</x:v>
      </x:c>
      <x:c r="BJ913" s="12" t="str"/>
      <x:c r="BK913" s="12" t="str">
        <x:v>No</x:v>
      </x:c>
      <x:c r="BL913" s="12" t="str"/>
      <x:c r="BM913" s="12" t="str"/>
      <x:c r="BN913" s="12" t="str"/>
      <x:c r="BO913" s="12" t="str"/>
      <x:c r="BP913" s="12" t="str"/>
      <x:c r="BQ913" s="12" t="str"/>
    </x:row>
    <x:row r="914">
      <x:c r="A914" s="9" t="str">
        <x:v>pc-233</x:v>
      </x:c>
      <x:c r="B914" s="9" t="str">
        <x:v>noir-a-shadowy-thriller</x:v>
      </x:c>
      <x:c r="C914" s="9" t="str">
        <x:v>PC</x:v>
      </x:c>
      <x:c r="D914" s="9" t="str">
        <x:v>Noir: A Shadowy Thriller</x:v>
      </x:c>
      <x:c r="E914" s="9" t="str"/>
      <x:c r="F914" s="9" t="str">
        <x:v>TSi, Inc.</x:v>
      </x:c>
      <x:c r="G914" s="9" t="str">
        <x:v>Cyberdreams</x:v>
      </x:c>
      <x:c r="H914" s="9" t="n">
        <x:v>1996</x:v>
      </x:c>
      <x:c r="I914" s="9" t="str">
        <x:v>Yes</x:v>
      </x:c>
      <x:c r="J914" s="9" t="str">
        <x:v>No</x:v>
      </x:c>
      <x:c r="K914" s="9" t="str">
        <x:v>No</x:v>
      </x:c>
      <x:c r="L914" s="9" t="str">
        <x:v>No</x:v>
      </x:c>
      <x:c r="M914" s="9" t="str">
        <x:v>FMV adventure</x:v>
      </x:c>
      <x:c r="N914" s="9" t="str">
        <x:v>Live-action</x:v>
      </x:c>
      <x:c r="O914" s="9" t="n">
        <x:v>8</x:v>
      </x:c>
      <x:c r="P914" s="9" t="str">
        <x:v>Interactive movie</x:v>
      </x:c>
      <x:c r="Q914" s="9" t="str">
        <x:v>Released</x:v>
      </x:c>
      <x:c r="R914" s="9" t="str">
        <x:v>Original production</x:v>
      </x:c>
      <x:c r="S914" s="9" t="str">
        <x:v>—</x:v>
      </x:c>
      <x:c r="T914" s="9" t="str">
        <x:v>Unknown — verify (written and directed by Jeff Blyth)</x:v>
      </x:c>
      <x:c r="U914" s="9" t="n">
        <x:v>1</x:v>
      </x:c>
      <x:c r="V914" s="9" t="str">
        <x:v>Yes (verify)</x:v>
      </x:c>
      <x:c r="W914" s="9" t="str">
        <x:v>Windows 95, mouse (spec verify)</x:v>
      </x:c>
      <x:c r="X914" s="9" t="str">
        <x:v>Low</x:v>
      </x:c>
      <x:c r="Y914" s="9" t="str"/>
      <x:c r="Z914" s="9" t="str">
        <x:v>4–6 hr (verify)</x:v>
      </x:c>
      <x:c r="AA914" s="9" t="str">
        <x:v>A black-and-white 1940s private-eye movie shot at the Bradbury Building, Cyberdreams' last game.</x:v>
      </x:c>
      <x:c r="AB914" s="9" t="str">
        <x:v>None known</x:v>
      </x:c>
      <x:c r="AC914" s="9" t="str">
        <x:v>Full-motion black-and-white live-action sequences carry the story (resolution verify)</x:v>
      </x:c>
      <x:c r="AD914" s="9" t="str">
        <x:v>Moderate (verify)</x:v>
      </x:c>
      <x:c r="AE914" s="9" t="str">
        <x:v>Single ending (verify)</x:v>
      </x:c>
      <x:c r="AF914" s="9" t="str">
        <x:v>Cyberdreams closed in 1997 after it. Director Jeff Blyth came from Disney documentaries and the film Cheetah.</x:v>
      </x:c>
      <x:c r="AG914" s="9" t="str"/>
      <x:c r="AH914" s="9" t="str">
        <x:v>No</x:v>
      </x:c>
      <x:c r="AI914" s="9" t="str">
        <x:v>Easy</x:v>
      </x:c>
      <x:c r="AJ914" s="9" t="str">
        <x:v>Original disc on Windows 9x or a Windows 98 VM.</x:v>
      </x:c>
      <x:c r="AK914" s="9" t="str">
        <x:v>Reviews (Wikipedia): CGW 2.5/5, GameSpot 4.9/10, Next Generation 2/5, PC PowerPlay 61%. Reviewers said the video left the player passive.</x:v>
      </x:c>
      <x:c r="AL914" s="10"/>
      <x:c r="AM914" s="10"/>
      <x:c r="AN914" s="10"/>
      <x:c r="AO914" s="9"/>
      <x:c r="AP914" s="11" t="str">
        <x:f>HYPERLINK("https://www.pricecharting.com/search-products?q=Noir%3A+A+Shadowy+Thriller+pc+games&amp;type=prices","PriceCharting")</x:f>
        <x:v>PriceCharting</x:v>
      </x:c>
      <x:c r="AQ914" s="9"/>
      <x:c r="AR914" s="9"/>
      <x:c r="AS914" s="9"/>
      <x:c r="AT914" s="9"/>
      <x:c r="AU914" s="9" t="str">
        <x:v>No market</x:v>
      </x:c>
      <x:c r="AV914" s="9" t="str">
        <x:v>Not sold on Steam or GOG (checked 2026-10-25) and no PriceCharting listing.</x:v>
      </x:c>
      <x:c r="AW914" s="9"/>
      <x:c r="AX914" s="9"/>
      <x:c r="AY914" s="9"/>
      <x:c r="AZ914" s="9"/>
      <x:c r="BA914" s="11" t="str">
        <x:f>HYPERLINK("https://www.mobygames.com/search/?q=Noir%3A+A+Shadowy+Thriller","MobyGames")</x:f>
        <x:v>MobyGames</x:v>
      </x:c>
      <x:c r="BB914" s="9" t="str">
        <x:v>48%</x:v>
      </x:c>
      <x:c r="BC914" s="9" t="str">
        <x:v>average of 4 reviews on Wikipedia</x:v>
      </x:c>
      <x:c r="BD914" s="9" t="str">
        <x:f>HYPERLINK("https://en.wikipedia.org/wiki/Noir:_A_Shadowy_Thriller","Source")</x:f>
        <x:v>Source</x:v>
      </x:c>
      <x:c r="BE914" s="11" t="str">
        <x:f>HYPERLINK("https://en.wikipedia.org/wiki/Noir:_A_Shadowy_Thriller","Wikipedia")</x:f>
        <x:v>Wikipedia</x:v>
      </x:c>
      <x:c r="BF914" s="11" t="str">
        <x:f>HYPERLINK("https://backloggd.com/search/games/Noir%3A%20A%20Shadowy%20Thriller/","Backloggd")</x:f>
        <x:v>Backloggd</x:v>
      </x:c>
      <x:c r="BG914" s="9"/>
      <x:c r="BH914" s="9"/>
      <x:c r="BI914" s="12" t="str">
        <x:v>No</x:v>
      </x:c>
      <x:c r="BJ914" s="12" t="str"/>
      <x:c r="BK914" s="12" t="str">
        <x:v>No</x:v>
      </x:c>
      <x:c r="BL914" s="12" t="str"/>
      <x:c r="BM914" s="12" t="str"/>
      <x:c r="BN914" s="12" t="str"/>
      <x:c r="BO914" s="12" t="str"/>
      <x:c r="BP914" s="12" t="str"/>
      <x:c r="BQ914" s="12" t="str"/>
    </x:row>
    <x:row r="915">
      <x:c r="A915" s="9" t="str">
        <x:v>pc-234</x:v>
      </x:c>
      <x:c r="B915" s="9" t="str">
        <x:v>mckenzie-and-co</x:v>
      </x:c>
      <x:c r="C915" s="9" t="str">
        <x:v>PC</x:v>
      </x:c>
      <x:c r="D915" s="9" t="str">
        <x:v>McKenzie &amp; Co.</x:v>
      </x:c>
      <x:c r="E915" s="9" t="str"/>
      <x:c r="F915" s="9" t="str">
        <x:v>Her Interactive (with American Laser Games)</x:v>
      </x:c>
      <x:c r="G915" s="9" t="str">
        <x:v>Her Interactive</x:v>
      </x:c>
      <x:c r="H915" s="9" t="n">
        <x:v>1995</x:v>
      </x:c>
      <x:c r="I915" s="9" t="str">
        <x:v>Yes</x:v>
      </x:c>
      <x:c r="J915" s="9" t="str">
        <x:v>No</x:v>
      </x:c>
      <x:c r="K915" s="9" t="str">
        <x:v>No</x:v>
      </x:c>
      <x:c r="L915" s="9" t="str">
        <x:v>No</x:v>
      </x:c>
      <x:c r="M915" s="9" t="str">
        <x:v>FMV dating / life sim</x:v>
      </x:c>
      <x:c r="N915" s="9" t="str">
        <x:v>Live-action</x:v>
      </x:c>
      <x:c r="O915" s="9" t="n">
        <x:v>8</x:v>
      </x:c>
      <x:c r="P915" s="9" t="str">
        <x:v>Interactive movie</x:v>
      </x:c>
      <x:c r="Q915" s="9" t="str">
        <x:v>Released</x:v>
      </x:c>
      <x:c r="R915" s="9" t="str">
        <x:v>Original production</x:v>
      </x:c>
      <x:c r="S915" s="9" t="str">
        <x:v>Mac OS (Feb 1996); a 3DO version was planned but not released</x:v>
      </x:c>
      <x:c r="T915" s="9" t="str">
        <x:v>Unknown — verify</x:v>
      </x:c>
      <x:c r="U915" s="9" t="n">
        <x:v>5</x:v>
      </x:c>
      <x:c r="V915" s="9" t="str">
        <x:v>Yes (verify)</x:v>
      </x:c>
      <x:c r="W915" s="9" t="str">
        <x:v>Windows 3.1/95 (spec verify)</x:v>
      </x:c>
      <x:c r="X915" s="9" t="str">
        <x:v>Low</x:v>
      </x:c>
      <x:c r="Y915" s="9" t="str"/>
      <x:c r="Z915" s="9" t="str">
        <x:v>5–10 hr (verify)</x:v>
      </x:c>
      <x:c r="AA915" s="9" t="str">
        <x:v>American Laser Games' girls' game: pick a cheerleader or an actress and get a prom date, one video clip at a time.</x:v>
      </x:c>
      <x:c r="AB915" s="9" t="str">
        <x:v>None known</x:v>
      </x:c>
      <x:c r="AC915" s="9" t="str">
        <x:v>Short live-action clips answer each action or line of dialogue; the bedrooms are still screens</x:v>
      </x:c>
      <x:c r="AD915" s="9" t="str">
        <x:v>Easy; wrong choices can end the game</x:v>
      </x:c>
      <x:c r="AE915" s="9" t="str">
        <x:v>Several (which date you end up with; count verify)</x:v>
      </x:c>
      <x:c r="AF915" s="9" t="str">
        <x:v>Her Interactive's first game, before Nancy Drew; designed from surveys of Albuquerque schoolgirls, and it sold over 80,000 copies. The box includes a music CD of New Mexico bands.</x:v>
      </x:c>
      <x:c r="AG915" s="9" t="str">
        <x:v>Expansion McKenzie &amp; Co: More Friends (3 CDs)</x:v>
      </x:c>
      <x:c r="AH915" s="9" t="str">
        <x:v>No</x:v>
      </x:c>
      <x:c r="AI915" s="9" t="str">
        <x:v>Easy</x:v>
      </x:c>
      <x:c r="AJ915" s="9" t="str">
        <x:v>Original discs on Windows 9x or a Windows 98 VM.</x:v>
      </x:c>
      <x:c r="AK915" s="9" t="str">
        <x:v>Released 24 Nov 1995 (Windows). Mac record not added yet.</x:v>
      </x:c>
      <x:c r="AL915" s="10"/>
      <x:c r="AM915" s="10"/>
      <x:c r="AN915" s="10"/>
      <x:c r="AO915" s="9"/>
      <x:c r="AP915" s="11" t="str">
        <x:f>HYPERLINK("https://www.pricecharting.com/search-products?q=McKenzie+%26+Co.+pc+games&amp;type=prices","PriceCharting")</x:f>
        <x:v>PriceCharting</x:v>
      </x:c>
      <x:c r="AQ915" s="9"/>
      <x:c r="AR915" s="9"/>
      <x:c r="AS915" s="9"/>
      <x:c r="AT915" s="9"/>
      <x:c r="AU915" s="9" t="str">
        <x:v>No market</x:v>
      </x:c>
      <x:c r="AV915" s="9" t="str">
        <x:v>Not sold on Steam or GOG (checked 2026-10-25) and no PriceCharting listing.</x:v>
      </x:c>
      <x:c r="AW915" s="9"/>
      <x:c r="AX915" s="9"/>
      <x:c r="AY915" s="9"/>
      <x:c r="AZ915" s="9"/>
      <x:c r="BA915" s="11" t="str">
        <x:f>HYPERLINK("https://www.mobygames.com/game/23832/mckenzie-co/","MobyGames")</x:f>
        <x:v>MobyGames</x:v>
      </x:c>
      <x:c r="BB915" s="9"/>
      <x:c r="BC915" s="9"/>
      <x:c r="BD915" s="9"/>
      <x:c r="BE915" s="11" t="str">
        <x:f>HYPERLINK("https://en.wikipedia.org/wiki/McKenzie_%26_Co.","Wikipedia")</x:f>
        <x:v>Wikipedia</x:v>
      </x:c>
      <x:c r="BF915" s="11" t="str">
        <x:f>HYPERLINK("https://backloggd.com/search/games/McKenzie%20%26%20Co./","Backloggd")</x:f>
        <x:v>Backloggd</x:v>
      </x:c>
      <x:c r="BG915" s="9"/>
      <x:c r="BH915" s="9"/>
      <x:c r="BI915" s="12" t="str">
        <x:v>No</x:v>
      </x:c>
      <x:c r="BJ915" s="12" t="str"/>
      <x:c r="BK915" s="12" t="str">
        <x:v>No</x:v>
      </x:c>
      <x:c r="BL915" s="12" t="str"/>
      <x:c r="BM915" s="12" t="str"/>
      <x:c r="BN915" s="12" t="str"/>
      <x:c r="BO915" s="12" t="str"/>
      <x:c r="BP915" s="12" t="str"/>
      <x:c r="BQ915" s="12" t="str"/>
    </x:row>
    <x:row r="916">
      <x:c r="A916" s="9" t="str">
        <x:v>pc-235</x:v>
      </x:c>
      <x:c r="B916" s="9" t="str">
        <x:v>star-trek-the-next-generation-a-final-unity</x:v>
      </x:c>
      <x:c r="C916" s="9" t="str">
        <x:v>PC</x:v>
      </x:c>
      <x:c r="D916" s="9" t="str">
        <x:v>Star Trek: The Next Generation – A Final Unity</x:v>
      </x:c>
      <x:c r="E916" s="9" t="str"/>
      <x:c r="F916" s="9" t="str">
        <x:v>Spectrum HoloByte</x:v>
      </x:c>
      <x:c r="G916" s="9" t="str">
        <x:v>Spectrum HoloByte (NA), MicroProse (EU)</x:v>
      </x:c>
      <x:c r="H916" s="9" t="n">
        <x:v>1995</x:v>
      </x:c>
      <x:c r="I916" s="9" t="str">
        <x:v>Yes</x:v>
      </x:c>
      <x:c r="J916" s="9" t="str">
        <x:v>No</x:v>
      </x:c>
      <x:c r="K916" s="9" t="str">
        <x:v>Yes</x:v>
      </x:c>
      <x:c r="L916" s="9" t="str">
        <x:v>No</x:v>
      </x:c>
      <x:c r="M916" s="9" t="str">
        <x:v>Adventure / starship sim</x:v>
      </x:c>
      <x:c r="N916" s="9" t="str">
        <x:v>Pre-rendered CG</x:v>
      </x:c>
      <x:c r="O916" s="9" t="n">
        <x:v>3</x:v>
      </x:c>
      <x:c r="P916" s="9" t="str">
        <x:v>Cutscenes only</x:v>
      </x:c>
      <x:c r="Q916" s="9" t="str">
        <x:v>Released</x:v>
      </x:c>
      <x:c r="R916" s="9" t="str">
        <x:v>TV license (Star Trek: The Next Generation)</x:v>
      </x:c>
      <x:c r="S916" s="9" t="str">
        <x:v>Macintosh (1996)</x:v>
      </x:c>
      <x:c r="T916" s="9" t="str">
        <x:v>Voices of the TNG cast: Patrick Stewart, Jonathan Frakes, Brent Spiner and others (no Wil Wheaton); Majel Barrett as the computer</x:v>
      </x:c>
      <x:c r="U916" s="9" t="n">
        <x:v>1</x:v>
      </x:c>
      <x:c r="V916" s="9" t="str">
        <x:v>Yes</x:v>
      </x:c>
      <x:c r="W916" s="9" t="str">
        <x:v>MS-DOS, CD-ROM, maths coprocessor recommended</x:v>
      </x:c>
      <x:c r="X916" s="9" t="str">
        <x:v>Med</x:v>
      </x:c>
      <x:c r="Y916" s="9" t="str">
        <x:v>Star Trek theme and Paramount-licensed music</x:v>
      </x:c>
      <x:c r="Z916" s="9" t="str">
        <x:v>15–20 hr</x:v>
      </x:c>
      <x:c r="AA916" s="9" t="str">
        <x:v>A full TNG episode voiced by the real cast, with CG Enterprise cutscenes; the PC original of the Mac record.</x:v>
      </x:c>
      <x:c r="AB916" s="9" t="str">
        <x:v>None known</x:v>
      </x:c>
      <x:c r="AC916" s="9" t="str">
        <x:v>Pre-rendered CG space cutscenes, replayable on the holodeck (verify size)</x:v>
      </x:c>
      <x:c r="AD916" s="9" t="str">
        <x:v>Moderate</x:v>
      </x:c>
      <x:c r="AE916" s="9" t="str">
        <x:v>Single ending</x:v>
      </x:c>
      <x:c r="AF916" s="9" t="str">
        <x:v>Seven principal actors reprised their roles; a Jaguar CD version was planned but never released.</x:v>
      </x:c>
      <x:c r="AG916" s="9" t="str"/>
      <x:c r="AH916" s="9" t="str">
        <x:v>No</x:v>
      </x:c>
      <x:c r="AI916" s="9" t="str">
        <x:v>Easy</x:v>
      </x:c>
      <x:c r="AJ916" s="9" t="str">
        <x:v>Original disc in DOSBox.</x:v>
      </x:c>
      <x:c r="AK916" s="9" t="str">
        <x:v>Released 30 Jun 1995 (NA), 7 Jul 1995 (UK). Reviews (Wikipedia): CGW 4/5, Next Generation 3/5, PC Gamer UK 94%, PC Gamer US 74%, PC Magazine 4/4.</x:v>
      </x:c>
      <x:c r="AL916" s="10"/>
      <x:c r="AM916" s="10"/>
      <x:c r="AN916" s="10"/>
      <x:c r="AO916" s="9"/>
      <x:c r="AP916" s="11" t="str">
        <x:f>HYPERLINK("https://www.pricecharting.com/search-products?q=Star+Trek%3A+The+Next+Generation+%E2%80%93+A+Final+Unity+pc+games&amp;type=prices","PriceCharting")</x:f>
        <x:v>PriceCharting</x:v>
      </x:c>
      <x:c r="AQ916" s="9"/>
      <x:c r="AR916" s="9"/>
      <x:c r="AS916" s="9"/>
      <x:c r="AT916" s="9"/>
      <x:c r="AU916" s="9" t="str">
        <x:v>No market</x:v>
      </x:c>
      <x:c r="AV916" s="9" t="str">
        <x:v>Not sold on Steam or GOG (checked 2026-10-25) and no PriceCharting listing.</x:v>
      </x:c>
      <x:c r="AW916" s="9"/>
      <x:c r="AX916" s="9"/>
      <x:c r="AY916" s="9"/>
      <x:c r="AZ916" s="9"/>
      <x:c r="BA916" s="11" t="str">
        <x:f>HYPERLINK("https://www.mobygames.com/search/?q=Star+Trek%3A+The+Next+Generation+%E2%80%93+A+Final+Unity","MobyGames")</x:f>
        <x:v>MobyGames</x:v>
      </x:c>
      <x:c r="BB916" s="9" t="str">
        <x:v>82%</x:v>
      </x:c>
      <x:c r="BC916" s="9" t="str">
        <x:v>average of 5 reviews on Wikipedia</x:v>
      </x:c>
      <x:c r="BD916" s="9" t="str">
        <x:f>HYPERLINK("https://en.wikipedia.org/wiki/Star_Trek:_The_Next_Generation_%E2%80%93_A_Final_Unity","Source")</x:f>
        <x:v>Source</x:v>
      </x:c>
      <x:c r="BE916" s="11" t="str">
        <x:f>HYPERLINK("https://en.wikipedia.org/wiki/Star_Trek:_The_Next_Generation_%E2%80%93_A_Final_Unity","Wikipedia")</x:f>
        <x:v>Wikipedia</x:v>
      </x:c>
      <x:c r="BF916" s="11" t="str">
        <x:f>HYPERLINK("https://backloggd.com/search/games/Star%20Trek%3A%20The%20Next%20Generation%20%E2%80%93%20A%20Final%20Unity/","Backloggd")</x:f>
        <x:v>Backloggd</x:v>
      </x:c>
      <x:c r="BG916" s="9"/>
      <x:c r="BH916" s="9"/>
      <x:c r="BI916" s="12" t="str">
        <x:v>No</x:v>
      </x:c>
      <x:c r="BJ916" s="12" t="str"/>
      <x:c r="BK916" s="12" t="str">
        <x:v>No</x:v>
      </x:c>
      <x:c r="BL916" s="12" t="str"/>
      <x:c r="BM916" s="12" t="str"/>
      <x:c r="BN916" s="12" t="str"/>
      <x:c r="BO916" s="12" t="str"/>
      <x:c r="BP916" s="12" t="str"/>
      <x:c r="BQ916" s="12" t="str"/>
    </x:row>
    <x:row r="917">
      <x:c r="A917" s="9" t="str">
        <x:v>pc-236</x:v>
      </x:c>
      <x:c r="B917" s="9" t="str">
        <x:v>the-lawnmower-man</x:v>
      </x:c>
      <x:c r="C917" s="9" t="str">
        <x:v>PC</x:v>
      </x:c>
      <x:c r="D917" s="9" t="str">
        <x:v>The Lawnmower Man</x:v>
      </x:c>
      <x:c r="E917" s="9" t="str"/>
      <x:c r="F917" s="9" t="str">
        <x:v>The Sales Curve</x:v>
      </x:c>
      <x:c r="G917" s="9" t="str">
        <x:v>Unknown — verify</x:v>
      </x:c>
      <x:c r="H917" s="9" t="n">
        <x:v>1993</x:v>
      </x:c>
      <x:c r="I917" s="9" t="str">
        <x:v>Yes</x:v>
      </x:c>
      <x:c r="J917" s="9" t="str">
        <x:v>No</x:v>
      </x:c>
      <x:c r="K917" s="9" t="str">
        <x:v>Yes</x:v>
      </x:c>
      <x:c r="L917" s="9" t="str">
        <x:v>No</x:v>
      </x:c>
      <x:c r="M917" s="9" t="str">
        <x:v>Interactive movie / mini-games</x:v>
      </x:c>
      <x:c r="N917" s="9" t="str">
        <x:v>Pre-rendered CG</x:v>
      </x:c>
      <x:c r="O917" s="9" t="n">
        <x:v>8</x:v>
      </x:c>
      <x:c r="P917" s="9" t="str">
        <x:v>Pre-rendered CG</x:v>
      </x:c>
      <x:c r="Q917" s="9" t="str">
        <x:v>Released</x:v>
      </x:c>
      <x:c r="R917" s="9" t="str">
        <x:v>Film license (The Lawnmower Man, 1992)</x:v>
      </x:c>
      <x:c r="S917" s="9" t="str">
        <x:v>Macintosh, Sega CD; SNES/Genesis/Game Boy carts are different games</x:v>
      </x:c>
      <x:c r="T917" s="9" t="str">
        <x:v>—</x:v>
      </x:c>
      <x:c r="U917" s="9" t="n">
        <x:v>1</x:v>
      </x:c>
      <x:c r="V917" s="9" t="str">
        <x:v>Yes (verify)</x:v>
      </x:c>
      <x:c r="W917" s="9" t="str">
        <x:v>MS-DOS, CD-ROM (spec verify)</x:v>
      </x:c>
      <x:c r="X917" s="9" t="str">
        <x:v>Low–Med</x:v>
      </x:c>
      <x:c r="Y917" s="9" t="str">
        <x:v>Film license</x:v>
      </x:c>
      <x:c r="Z917" s="9" t="str">
        <x:v>1 hr</x:v>
      </x:c>
      <x:c r="AA917" s="9" t="str">
        <x:v>The CD-ROM Lawnmower Man: virtual-reality mini-games and CG tunnel flights straight out of the 1992 film.</x:v>
      </x:c>
      <x:c r="AB917" s="9" t="str">
        <x:v>None known</x:v>
      </x:c>
      <x:c r="AC917" s="9" t="str">
        <x:v>Pre-rendered CG sequences with timed inputs (verify size)</x:v>
      </x:c>
      <x:c r="AD917" s="9" t="str">
        <x:v>Hard; quick-time chases</x:v>
      </x:c>
      <x:c r="AE917" s="9" t="str">
        <x:v>Single ending</x:v>
      </x:c>
      <x:c r="AF917" s="9" t="str">
        <x:v>Computer and Video Games gave it 88; PC Review gave it 5/10.</x:v>
      </x:c>
      <x:c r="AG917" s="9" t="str"/>
      <x:c r="AH917" s="9" t="str">
        <x:v>No</x:v>
      </x:c>
      <x:c r="AI917" s="9" t="str">
        <x:v>Easy</x:v>
      </x:c>
      <x:c r="AJ917" s="9" t="str">
        <x:v>Original disc in DOSBox.</x:v>
      </x:c>
      <x:c r="AK917" s="9" t="str">
        <x:v>DOS CD-ROM 1993 (NA/EU) per Wikipedia; publisher on DOS not confirmed. Reviews: CVG 88, ASM 10/12, PC Gamer UK 67%, PC Games 63%, PC Review 5/10.</x:v>
      </x:c>
      <x:c r="AL917" s="10"/>
      <x:c r="AM917" s="10"/>
      <x:c r="AN917" s="10"/>
      <x:c r="AO917" s="9"/>
      <x:c r="AP917" s="11" t="str">
        <x:f>HYPERLINK("https://www.pricecharting.com/search-products?q=The+Lawnmower+Man+pc+games&amp;type=prices","PriceCharting")</x:f>
        <x:v>PriceCharting</x:v>
      </x:c>
      <x:c r="AQ917" s="9"/>
      <x:c r="AR917" s="9"/>
      <x:c r="AS917" s="9"/>
      <x:c r="AT917" s="9"/>
      <x:c r="AU917" s="9" t="str">
        <x:v>No market</x:v>
      </x:c>
      <x:c r="AV917" s="9" t="str">
        <x:v>Not sold on Steam or GOG (checked 2026-10-25) and no PriceCharting listing.</x:v>
      </x:c>
      <x:c r="AW917" s="9"/>
      <x:c r="AX917" s="9"/>
      <x:c r="AY917" s="9"/>
      <x:c r="AZ917" s="9"/>
      <x:c r="BA917" s="11" t="str">
        <x:f>HYPERLINK("https://www.mobygames.com/search/?q=The+Lawnmower+Man","MobyGames")</x:f>
        <x:v>MobyGames</x:v>
      </x:c>
      <x:c r="BB917" s="9" t="str">
        <x:v>69%</x:v>
      </x:c>
      <x:c r="BC917" s="9" t="str">
        <x:v>average of 5 reviews on Wikipedia</x:v>
      </x:c>
      <x:c r="BD917" s="9" t="str">
        <x:f>HYPERLINK("https://en.wikipedia.org/wiki/The_Lawnmower_Man_(video_game)","Source")</x:f>
        <x:v>Source</x:v>
      </x:c>
      <x:c r="BE917" s="11" t="str">
        <x:f>HYPERLINK("https://en.wikipedia.org/wiki/The_Lawnmower_Man_(video_game)","Wikipedia")</x:f>
        <x:v>Wikipedia</x:v>
      </x:c>
      <x:c r="BF917" s="11" t="str">
        <x:f>HYPERLINK("https://backloggd.com/search/games/The%20Lawnmower%20Man/","Backloggd")</x:f>
        <x:v>Backloggd</x:v>
      </x:c>
      <x:c r="BG917" s="9"/>
      <x:c r="BH917" s="9"/>
      <x:c r="BI917" s="12" t="str">
        <x:v>No</x:v>
      </x:c>
      <x:c r="BJ917" s="12" t="str"/>
      <x:c r="BK917" s="12" t="str">
        <x:v>No</x:v>
      </x:c>
      <x:c r="BL917" s="12" t="str"/>
      <x:c r="BM917" s="12" t="str"/>
      <x:c r="BN917" s="12" t="str"/>
      <x:c r="BO917" s="12" t="str"/>
      <x:c r="BP917" s="12" t="str"/>
      <x:c r="BQ917" s="12" t="str"/>
    </x:row>
    <x:row r="918">
      <x:c r="A918" s="9" t="str">
        <x:v>pc-237</x:v>
      </x:c>
      <x:c r="B918" s="9" t="str">
        <x:v>cyberwar</x:v>
      </x:c>
      <x:c r="C918" s="9" t="str">
        <x:v>PC</x:v>
      </x:c>
      <x:c r="D918" s="9" t="str">
        <x:v>Cyberwar</x:v>
      </x:c>
      <x:c r="E918" s="9" t="str"/>
      <x:c r="F918" s="9" t="str">
        <x:v>Sales Curve Interactive</x:v>
      </x:c>
      <x:c r="G918" s="9" t="str">
        <x:v>Interplay Productions</x:v>
      </x:c>
      <x:c r="H918" s="9" t="n">
        <x:v>1994</x:v>
      </x:c>
      <x:c r="I918" s="9" t="str">
        <x:v>Yes</x:v>
      </x:c>
      <x:c r="J918" s="9" t="str">
        <x:v>No</x:v>
      </x:c>
      <x:c r="K918" s="9" t="str">
        <x:v>No</x:v>
      </x:c>
      <x:c r="L918" s="9" t="str">
        <x:v>No</x:v>
      </x:c>
      <x:c r="M918" s="9" t="str">
        <x:v>Interactive movie / mini-games</x:v>
      </x:c>
      <x:c r="N918" s="9" t="str">
        <x:v>Pre-rendered CG</x:v>
      </x:c>
      <x:c r="O918" s="9" t="n">
        <x:v>8</x:v>
      </x:c>
      <x:c r="P918" s="9" t="str">
        <x:v>Pre-rendered CG</x:v>
      </x:c>
      <x:c r="Q918" s="9" t="str">
        <x:v>Released</x:v>
      </x:c>
      <x:c r="R918" s="9" t="str">
        <x:v>Sequel to The Lawnmower Man game (film license)</x:v>
      </x:c>
      <x:c r="S918" s="9" t="str">
        <x:v>Macintosh, PlayStation (JP); Sega CD, 3DO and Saturn ports were announced but not released</x:v>
      </x:c>
      <x:c r="T918" s="9" t="str">
        <x:v>—</x:v>
      </x:c>
      <x:c r="U918" s="9" t="n">
        <x:v>3</x:v>
      </x:c>
      <x:c r="V918" s="9" t="str">
        <x:v>Yes (verify)</x:v>
      </x:c>
      <x:c r="W918" s="9" t="str">
        <x:v>MS-DOS, CD-ROM (spec verify)</x:v>
      </x:c>
      <x:c r="X918" s="9" t="str">
        <x:v>Low</x:v>
      </x:c>
      <x:c r="Y918" s="9" t="str"/>
      <x:c r="Z918" s="9" t="str">
        <x:v>1–2 hr (verify)</x:v>
      </x:c>
      <x:c r="AA918" s="9" t="str">
        <x:v>The Lawnmower Man's CG sequel: three discs of tunnel flights and VR challenges where one slip is game over.</x:v>
      </x:c>
      <x:c r="AB918" s="9" t="str">
        <x:v>None known</x:v>
      </x:c>
      <x:c r="AC918" s="9" t="str">
        <x:v>Pre-rendered CG sequences with timed inputs (verify size)</x:v>
      </x:c>
      <x:c r="AD918" s="9" t="str">
        <x:v>Hard; missing any part of a challenge ends the game</x:v>
      </x:c>
      <x:c r="AE918" s="9" t="str">
        <x:v>Single ending (verify)</x:v>
      </x:c>
      <x:c r="AF918" s="9" t="str">
        <x:v>Next Generation called it 'little more than a rehash' of the first game.</x:v>
      </x:c>
      <x:c r="AG918" s="9" t="str">
        <x:v>Ships with a soundtrack CD</x:v>
      </x:c>
      <x:c r="AH918" s="9" t="str">
        <x:v>No</x:v>
      </x:c>
      <x:c r="AI918" s="9" t="str">
        <x:v>Easy</x:v>
      </x:c>
      <x:c r="AJ918" s="9" t="str">
        <x:v>Original discs in DOSBox.</x:v>
      </x:c>
      <x:c r="AK918" s="9" t="str">
        <x:v>Released Nov 1994. Reviews (Wikipedia): Next Generation 2/5 (PC). Mac and PS1 records not added yet.</x:v>
      </x:c>
      <x:c r="AL918" s="10"/>
      <x:c r="AM918" s="10"/>
      <x:c r="AN918" s="10"/>
      <x:c r="AO918" s="9"/>
      <x:c r="AP918" s="11" t="str">
        <x:f>HYPERLINK("https://www.pricecharting.com/search-products?q=Cyberwar+pc+games&amp;type=prices","PriceCharting")</x:f>
        <x:v>PriceCharting</x:v>
      </x:c>
      <x:c r="AQ918" s="9"/>
      <x:c r="AR918" s="9"/>
      <x:c r="AS918" s="9"/>
      <x:c r="AT918" s="9"/>
      <x:c r="AU918" s="9" t="str">
        <x:v>No market</x:v>
      </x:c>
      <x:c r="AV918" s="9" t="str">
        <x:v>Not sold on Steam or GOG (checked 2026-10-25) and no PriceCharting listing.</x:v>
      </x:c>
      <x:c r="AW918" s="9"/>
      <x:c r="AX918" s="9"/>
      <x:c r="AY918" s="9"/>
      <x:c r="AZ918" s="9"/>
      <x:c r="BA918" s="11" t="str">
        <x:f>HYPERLINK("https://www.mobygames.com/search/?q=Cyberwar","MobyGames")</x:f>
        <x:v>MobyGames</x:v>
      </x:c>
      <x:c r="BB918" s="9" t="str">
        <x:v>40%</x:v>
      </x:c>
      <x:c r="BC918" s="9" t="str">
        <x:v>Next Generation 2/5 on Wikipedia, 1 review</x:v>
      </x:c>
      <x:c r="BD918" s="9" t="str">
        <x:f>HYPERLINK("https://en.wikipedia.org/wiki/Cyberwar_(video_game)","Source")</x:f>
        <x:v>Source</x:v>
      </x:c>
      <x:c r="BE918" s="11" t="str">
        <x:f>HYPERLINK("https://en.wikipedia.org/wiki/Cyberwar_(video_game)","Wikipedia")</x:f>
        <x:v>Wikipedia</x:v>
      </x:c>
      <x:c r="BF918" s="11" t="str">
        <x:f>HYPERLINK("https://backloggd.com/search/games/Cyberwar/","Backloggd")</x:f>
        <x:v>Backloggd</x:v>
      </x:c>
      <x:c r="BG918" s="9"/>
      <x:c r="BH918" s="9"/>
      <x:c r="BI918" s="12" t="str">
        <x:v>No</x:v>
      </x:c>
      <x:c r="BJ918" s="12" t="str"/>
      <x:c r="BK918" s="12" t="str">
        <x:v>No</x:v>
      </x:c>
      <x:c r="BL918" s="12" t="str"/>
      <x:c r="BM918" s="12" t="str"/>
      <x:c r="BN918" s="12" t="str"/>
      <x:c r="BO918" s="12" t="str"/>
      <x:c r="BP918" s="12" t="str"/>
      <x:c r="BQ918" s="12" t="str"/>
    </x:row>
    <x:row r="919">
      <x:c r="A919" s="9" t="str">
        <x:v>pc-238</x:v>
      </x:c>
      <x:c r="B919" s="9" t="str">
        <x:v>at-dead-of-night</x:v>
      </x:c>
      <x:c r="C919" s="9" t="str">
        <x:v>PC</x:v>
      </x:c>
      <x:c r="D919" s="9" t="str">
        <x:v>At Dead of Night</x:v>
      </x:c>
      <x:c r="E919" s="9" t="str">
        <x:v>At Dead Of Night</x:v>
      </x:c>
      <x:c r="F919" s="9" t="str">
        <x:v>Baggy Cat Ltd.</x:v>
      </x:c>
      <x:c r="G919" s="9" t="str">
        <x:v>Baggy Cat Ltd.</x:v>
      </x:c>
      <x:c r="H919" s="9" t="n">
        <x:v>2020</x:v>
      </x:c>
      <x:c r="I919" s="9" t="str">
        <x:v>Yes</x:v>
      </x:c>
      <x:c r="J919" s="9" t="str">
        <x:v>Yes</x:v>
      </x:c>
      <x:c r="K919" s="9" t="str">
        <x:v>Yes</x:v>
      </x:c>
      <x:c r="L919" s="9" t="str">
        <x:v>No</x:v>
      </x:c>
      <x:c r="M919" s="9" t="str">
        <x:v>FMV survival horror / ghost investigation</x:v>
      </x:c>
      <x:c r="N919" s="9" t="str">
        <x:v>Live-action + pre-rendered CG</x:v>
      </x:c>
      <x:c r="O919" s="9" t="n">
        <x:v>8</x:v>
      </x:c>
      <x:c r="P919" s="9" t="str">
        <x:v>FMV adventure</x:v>
      </x:c>
      <x:c r="Q919" s="9" t="str">
        <x:v>Released</x:v>
      </x:c>
      <x:c r="R919" s="9" t="str">
        <x:v>Original production</x:v>
      </x:c>
      <x:c r="S919" s="9" t="str">
        <x:v>Windows (Steam); no console release confirmed by the developer</x:v>
      </x:c>
      <x:c r="T919" s="9" t="str">
        <x:v>Unknown — verify</x:v>
      </x:c>
      <x:c r="U919" s="9" t="n">
        <x:v>0</x:v>
      </x:c>
      <x:c r="V919" s="9" t="str">
        <x:v>Yes</x:v>
      </x:c>
      <x:c r="W919" s="9" t="str">
        <x:v>Windows; keyboard and mouse. Steam lists 2 GB RAM and 5 GB storage.</x:v>
      </x:c>
      <x:c r="X919" s="9" t="str">
        <x:v>Low</x:v>
      </x:c>
      <x:c r="Y919" s="9" t="str"/>
      <x:c r="Z919" s="9" t="str">
        <x:v>4–8 hr per run (verify)</x:v>
      </x:c>
      <x:c r="AA919" s="9" t="str">
        <x:v>Escape Jimmy Hall in a hotel that blends filmed actors, rendered corridors and a ghost investigation.</x:v>
      </x:c>
      <x:c r="AB919" s="9" t="str">
        <x:v>None known</x:v>
      </x:c>
      <x:c r="AC919" s="9" t="str">
        <x:v>Live-action actors composited into pre-rendered hotel scenes; filmed ghost encounters and video movement transitions.</x:v>
      </x:c>
      <x:c r="AD919" s="9" t="str">
        <x:v>Moderate; mapping the hotel and timing the killer is the challenge</x:v>
      </x:c>
      <x:c r="AE919" s="9" t="str">
        <x:v>Unknown — verify</x:v>
      </x:c>
      <x:c r="AF919" s="9" t="str">
        <x:v>From Tim Follin and Baggy Cat, the developer of Contradiction: Spot the Liar!.</x:v>
      </x:c>
      <x:c r="AG919" s="9" t="str"/>
      <x:c r="AH919" s="9" t="str">
        <x:v>Yes (Steam)</x:v>
      </x:c>
      <x:c r="AI919" s="9" t="str">
        <x:v>Easy</x:v>
      </x:c>
      <x:c r="AJ919" s="9" t="str">
        <x:v>Buy on Steam for Windows: https://store.steampowered.com/app/1450830/At_Dead_Of_Night/</x:v>
      </x:c>
      <x:c r="AK919" s="9" t="str">
        <x:v>Purchase and format checked against Steam app 1450830 and baggycat.com on 2026-10-25. You control Maya directly; this is not a remote-camera game. Steam release: 19 Nov 2020.</x:v>
      </x:c>
      <x:c r="AL919" s="10"/>
      <x:c r="AM919" s="10"/>
      <x:c r="AN919" s="10"/>
      <x:c r="AO919" s="9"/>
      <x:c r="AP919" s="11" t="str">
        <x:f>HYPERLINK("https://www.pricecharting.com/search-products?q=At+Dead+of+Night+pc+games&amp;type=prices","PriceCharting")</x:f>
        <x:v>PriceCharting</x:v>
      </x:c>
      <x:c r="AQ919" s="9" t="n">
        <x:v>15.99</x:v>
      </x:c>
      <x:c r="AR919" s="11" t="str">
        <x:v>Steam</x:v>
      </x:c>
      <x:c r="AS919" s="9" t="str">
        <x:f>HYPERLINK("https://store.steampowered.com/app/1450830/","Store")</x:f>
        <x:v>Store</x:v>
      </x:c>
      <x:c r="AT919" s="9" t="str">
        <x:v>2026-10-25</x:v>
      </x:c>
      <x:c r="AU919" s="9"/>
      <x:c r="AV919" s="9"/>
      <x:c r="AW919" s="9"/>
      <x:c r="AX919" s="9"/>
      <x:c r="AY919" s="9"/>
      <x:c r="AZ919" s="9"/>
      <x:c r="BA919" s="11" t="str">
        <x:f>HYPERLINK("https://www.mobygames.com/search/?q=At+Dead+of+Night","MobyGames")</x:f>
        <x:v>MobyGames</x:v>
      </x:c>
      <x:c r="BB919" s="9"/>
      <x:c r="BC919" s="9"/>
      <x:c r="BD919" s="9"/>
      <x:c r="BE919" s="9"/>
      <x:c r="BF919" s="11" t="str">
        <x:f>HYPERLINK("https://backloggd.com/search/games/At%20Dead%20of%20Night/","Backloggd")</x:f>
        <x:v>Backloggd</x:v>
      </x:c>
      <x:c r="BG919" s="9"/>
      <x:c r="BH919" s="9"/>
      <x:c r="BI919" s="12" t="str">
        <x:v>No</x:v>
      </x:c>
      <x:c r="BJ919" s="12" t="str"/>
      <x:c r="BK919" s="12" t="str">
        <x:v>No</x:v>
      </x:c>
      <x:c r="BL919" s="12" t="str"/>
      <x:c r="BM919" s="12" t="str"/>
      <x:c r="BN919" s="12" t="str"/>
      <x:c r="BO919" s="12" t="str"/>
      <x:c r="BP919" s="12" t="str"/>
      <x:c r="BQ919" s="12" t="str"/>
    </x:row>
    <x:row r="920">
      <x:c r="A920" s="9" t="str">
        <x:v>pc-239</x:v>
      </x:c>
      <x:c r="B920" s="9" t="str">
        <x:v>the-run</x:v>
      </x:c>
      <x:c r="C920" s="9" t="str">
        <x:v>PC</x:v>
      </x:c>
      <x:c r="D920" s="9" t="str">
        <x:v>The Run</x:v>
      </x:c>
      <x:c r="E920" s="9" t="str"/>
      <x:c r="F920" s="9" t="str">
        <x:v>PRM Games</x:v>
      </x:c>
      <x:c r="G920" s="9" t="str">
        <x:v>PRM Games</x:v>
      </x:c>
      <x:c r="H920" s="9" t="n">
        <x:v>2026</x:v>
      </x:c>
      <x:c r="I920" s="9" t="str">
        <x:v>Yes</x:v>
      </x:c>
      <x:c r="J920" s="9" t="str">
        <x:v>Yes</x:v>
      </x:c>
      <x:c r="K920" s="9" t="str">
        <x:v>Yes</x:v>
      </x:c>
      <x:c r="L920" s="9" t="str">
        <x:v>No</x:v>
      </x:c>
      <x:c r="M920" s="9" t="str">
        <x:v>FMV survival horror-thriller</x:v>
      </x:c>
      <x:c r="N920" s="9" t="str">
        <x:v>Live-action</x:v>
      </x:c>
      <x:c r="O920" s="9" t="n">
        <x:v>10</x:v>
      </x:c>
      <x:c r="P920" s="9" t="str">
        <x:v>Interactive movie</x:v>
      </x:c>
      <x:c r="Q920" s="9" t="str">
        <x:v>Released</x:v>
      </x:c>
      <x:c r="R920" s="9" t="str">
        <x:v>Original production</x:v>
      </x:c>
      <x:c r="S920" s="9" t="str">
        <x:v>iOS (iPhone/iPad); macOS</x:v>
      </x:c>
      <x:c r="T920" s="9" t="str">
        <x:v>Roxanne McKee (Zanna Hendricks), George Blagden, Jamie Ward, Dario Argento, Franco Nero (roles verify)</x:v>
      </x:c>
      <x:c r="U920" s="9" t="n">
        <x:v>0</x:v>
      </x:c>
      <x:c r="V920" s="9" t="str">
        <x:v>Yes</x:v>
      </x:c>
      <x:c r="W920" s="9" t="str">
        <x:v>Windows 10 64-bit, 2 GB RAM, DirectX 11, 29 GB; also macOS 11</x:v>
      </x:c>
      <x:c r="X920" s="9" t="str">
        <x:v>Low</x:v>
      </x:c>
      <x:c r="Y920" s="9" t="str"/>
      <x:c r="Z920" s="9" t="str">
        <x:v>About 3 hours of footage; one run 1–2 hr</x:v>
      </x:c>
      <x:c r="AA920" s="9" t="str">
        <x:v>A fitness influencer's morning run in the Italian Alps turns into a slasher, with Dario Argento and Franco Nero in the cast.</x:v>
      </x:c>
      <x:c r="AB920" s="9" t="str">
        <x:v>None known</x:v>
      </x:c>
      <x:c r="AC920" s="9" t="str">
        <x:v>1080p live action, branching with timed or paused choices; 20 deaths, 5 endings</x:v>
      </x:c>
      <x:c r="AD920" s="9" t="str">
        <x:v>Easy; Timed and Paused choice modes</x:v>
      </x:c>
      <x:c r="AE920" s="9" t="str">
        <x:v>5 endings, 20 deaths</x:v>
      </x:c>
      <x:c r="AF920" s="9" t="str">
        <x:v>PRM Games' third FMV after The Gallery and Hello Stranger; shot in Northern Italy. Metacritic 77 (8 reviews).</x:v>
      </x:c>
      <x:c r="AG920" s="9" t="str">
        <x:v>Steam and Mac; iOS version</x:v>
      </x:c>
      <x:c r="AH920" s="9" t="str">
        <x:v>Yes (Steam)</x:v>
      </x:c>
      <x:c r="AI920" s="9" t="str">
        <x:v>Easy</x:v>
      </x:c>
      <x:c r="AJ920" s="9" t="str">
        <x:v>Steam (Windows/Mac), iOS</x:v>
      </x:c>
      <x:c r="AK920" s="9" t="str">
        <x:v>Steam 5 Feb 2026, $9.99; Very Positive 88% of 99 (Oct 2026).</x:v>
      </x:c>
      <x:c r="AL920" s="10"/>
      <x:c r="AM920" s="10"/>
      <x:c r="AN920" s="10"/>
      <x:c r="AO920" s="9"/>
      <x:c r="AP920" s="11" t="str">
        <x:f>HYPERLINK("https://www.pricecharting.com/search-products?q=The+Run+pc+games&amp;type=prices","PriceCharting")</x:f>
        <x:v>PriceCharting</x:v>
      </x:c>
      <x:c r="AQ920" s="9" t="n">
        <x:v>9.99</x:v>
      </x:c>
      <x:c r="AR920" s="11" t="str">
        <x:v>Steam</x:v>
      </x:c>
      <x:c r="AS920" s="9" t="str">
        <x:f>HYPERLINK("https://store.steampowered.com/app/3447920/","Store")</x:f>
        <x:v>Store</x:v>
      </x:c>
      <x:c r="AT920" s="9" t="str">
        <x:v>2026-10-25</x:v>
      </x:c>
      <x:c r="AU920" s="9"/>
      <x:c r="AV920" s="9"/>
      <x:c r="AW920" s="9"/>
      <x:c r="AX920" s="9"/>
      <x:c r="AY920" s="9"/>
      <x:c r="AZ920" s="9"/>
      <x:c r="BA920" s="11" t="str">
        <x:f>HYPERLINK("https://www.mobygames.com/search/?q=The+Run","MobyGames")</x:f>
        <x:v>MobyGames</x:v>
      </x:c>
      <x:c r="BB920" s="9" t="str">
        <x:v>77%</x:v>
      </x:c>
      <x:c r="BC920" s="9" t="str">
        <x:v>Metacritic (PC), 8 reviews</x:v>
      </x:c>
      <x:c r="BD920" s="9" t="str">
        <x:f>HYPERLINK("https://www.metacritic.com/game/the-run/","Source")</x:f>
        <x:v>Source</x:v>
      </x:c>
      <x:c r="BE920" s="9"/>
      <x:c r="BF920" s="11" t="str">
        <x:f>HYPERLINK("https://backloggd.com/search/games/The%20Run/","Backloggd")</x:f>
        <x:v>Backloggd</x:v>
      </x:c>
      <x:c r="BG920" s="9"/>
      <x:c r="BH920" s="9"/>
      <x:c r="BI920" s="12" t="str">
        <x:v>No</x:v>
      </x:c>
      <x:c r="BJ920" s="12" t="str"/>
      <x:c r="BK920" s="12" t="str">
        <x:v>No</x:v>
      </x:c>
      <x:c r="BL920" s="12" t="str"/>
      <x:c r="BM920" s="12" t="str"/>
      <x:c r="BN920" s="12" t="str"/>
      <x:c r="BO920" s="12" t="str"/>
      <x:c r="BP920" s="12" t="str"/>
      <x:c r="BQ920" s="12" t="str"/>
    </x:row>
    <x:row r="921">
      <x:c r="A921" s="9" t="str">
        <x:v>pc-240</x:v>
      </x:c>
      <x:c r="B921" s="9" t="str">
        <x:v>akiba-lost</x:v>
      </x:c>
      <x:c r="C921" s="9" t="str">
        <x:v>PC</x:v>
      </x:c>
      <x:c r="D921" s="9" t="str">
        <x:v>AKIBA LOST</x:v>
      </x:c>
      <x:c r="E921" s="9" t="str"/>
      <x:c r="F921" s="9" t="str">
        <x:v>IzanagiGames; Nippon TV; AX-ON</x:v>
      </x:c>
      <x:c r="G921" s="9" t="str">
        <x:v>IzanagiGames</x:v>
      </x:c>
      <x:c r="H921" s="9" t="n">
        <x:v>2026</x:v>
      </x:c>
      <x:c r="I921" s="9" t="str">
        <x:v>Yes</x:v>
      </x:c>
      <x:c r="J921" s="9" t="str">
        <x:v>Yes</x:v>
      </x:c>
      <x:c r="K921" s="9" t="str">
        <x:v>Yes</x:v>
      </x:c>
      <x:c r="L921" s="9" t="str">
        <x:v>No</x:v>
      </x:c>
      <x:c r="M921" s="9" t="str">
        <x:v>Live-action suspense adventure</x:v>
      </x:c>
      <x:c r="N921" s="9" t="str">
        <x:v>Live-action</x:v>
      </x:c>
      <x:c r="O921" s="9" t="n">
        <x:v>10</x:v>
      </x:c>
      <x:c r="P921" s="9" t="str">
        <x:v>Interactive movie</x:v>
      </x:c>
      <x:c r="Q921" s="9" t="str">
        <x:v>Released</x:v>
      </x:c>
      <x:c r="R921" s="9" t="str">
        <x:v>Original production</x:v>
      </x:c>
      <x:c r="S921" s="9" t="str">
        <x:v>PS5, Switch 2, Switch (17 Sep 2026); Steam 20 Oct 2026</x:v>
      </x:c>
      <x:c r="T921" s="9" t="str">
        <x:v>Hiromitsu Kitayama (Daiki Shinjo), Sayuri Matsumura (Aoi Shinjo), Momoko Tanabe (Yukimi Kurahashi), Misato Ugaki (Moe Kurosu), Yui Oguri (Kokone Nagato), Azusa Ohara (Chihiro Jimbo), MINA (Wakana Yusa)</x:v>
      </x:c>
      <x:c r="U921" s="9" t="n">
        <x:v>0</x:v>
      </x:c>
      <x:c r="V921" s="9" t="str">
        <x:v>Yes</x:v>
      </x:c>
      <x:c r="W921" s="9" t="str">
        <x:v>Windows 10 64-bit, Core i5, 8 GB RAM, DirectX 11, 8 GB</x:v>
      </x:c>
      <x:c r="X921" s="9" t="str">
        <x:v>Low</x:v>
      </x:c>
      <x:c r="Y921" s="9" t="str"/>
      <x:c r="Z921" s="9" t="str">
        <x:v>6–8 hr (verify)</x:v>
      </x:c>
      <x:c r="AA921" s="9" t="str">
        <x:v>Nippon TV's 'full-scale live-action game': a game creator's new title about his sister's unsolved disappearance starts bleeding into Akihabara.</x:v>
      </x:c>
      <x:c r="AB921" s="9" t="str">
        <x:v>None known</x:v>
      </x:c>
      <x:c r="AC921" s="9" t="str">
        <x:v>Multi-perspective live-action cinematics with Japanese audio and English subtitles</x:v>
      </x:c>
      <x:c r="AD921" s="9" t="str">
        <x:v>Easy; visual-novel style choices</x:v>
      </x:c>
      <x:c r="AE921" s="9" t="str">
        <x:v>Multiple (verify)</x:v>
      </x:c>
      <x:c r="AF921" s="9" t="str">
        <x:v>Announced at TGS 2025 by IzanagiGames (Death Come True) with Nippon TV and AX-ON; a separate 'Drama Movie' cut is sold as DLC. Metacritic 81.</x:v>
      </x:c>
      <x:c r="AG921" s="9" t="str">
        <x:v>Digital Deluxe Edition; Drama Movie DLC ($9.99); PS5, Switch 2 and Switch digital pre-orders</x:v>
      </x:c>
      <x:c r="AH921" s="9" t="str">
        <x:v>Yes (Steam, PS5, Switch 2, Switch)</x:v>
      </x:c>
      <x:c r="AI921" s="9" t="str">
        <x:v>Easy</x:v>
      </x:c>
      <x:c r="AJ921" s="9" t="str">
        <x:v>Steam, PS5, Switch 2, Switch</x:v>
      </x:c>
      <x:c r="AK921" s="9" t="str">
        <x:v>Steam 20 Oct 2026, $24.99 (20% launch discount); Very Positive 95% of 239 (Oct 2026). Consoles 17 Sep 2026 (Gematsu).</x:v>
      </x:c>
      <x:c r="AL921" s="10"/>
      <x:c r="AM921" s="10"/>
      <x:c r="AN921" s="10"/>
      <x:c r="AO921" s="9"/>
      <x:c r="AP921" s="11" t="str">
        <x:f>HYPERLINK("https://www.pricecharting.com/search-products?q=AKIBA+LOST+pc+games&amp;type=prices","PriceCharting")</x:f>
        <x:v>PriceCharting</x:v>
      </x:c>
      <x:c r="AQ921" s="9" t="n">
        <x:v>24.99</x:v>
      </x:c>
      <x:c r="AR921" s="11" t="str">
        <x:v>Steam</x:v>
      </x:c>
      <x:c r="AS921" s="9" t="str">
        <x:f>HYPERLINK("https://store.steampowered.com/app/4131220/","Store")</x:f>
        <x:v>Store</x:v>
      </x:c>
      <x:c r="AT921" s="9" t="str">
        <x:v>2026-10-25</x:v>
      </x:c>
      <x:c r="AU921" s="9"/>
      <x:c r="AV921" s="9"/>
      <x:c r="AW921" s="9"/>
      <x:c r="AX921" s="9"/>
      <x:c r="AY921" s="9"/>
      <x:c r="AZ921" s="9"/>
      <x:c r="BA921" s="11" t="str">
        <x:f>HYPERLINK("https://www.mobygames.com/search/?q=AKIBA+LOST","MobyGames")</x:f>
        <x:v>MobyGames</x:v>
      </x:c>
      <x:c r="BB921" s="9" t="str">
        <x:v>81%</x:v>
      </x:c>
      <x:c r="BC921" s="9" t="str">
        <x:v>Metacritic (PC)</x:v>
      </x:c>
      <x:c r="BD921" s="9" t="str">
        <x:f>HYPERLINK("https://www.metacritic.com/game/akiba-lost/","Source")</x:f>
        <x:v>Source</x:v>
      </x:c>
      <x:c r="BE921" s="9"/>
      <x:c r="BF921" s="11" t="str">
        <x:f>HYPERLINK("https://backloggd.com/search/games/AKIBA%20LOST/","Backloggd")</x:f>
        <x:v>Backloggd</x:v>
      </x:c>
      <x:c r="BG921" s="9"/>
      <x:c r="BH921" s="9"/>
      <x:c r="BI921" s="12" t="str">
        <x:v>No</x:v>
      </x:c>
      <x:c r="BJ921" s="12" t="str"/>
      <x:c r="BK921" s="12" t="str">
        <x:v>No</x:v>
      </x:c>
      <x:c r="BL921" s="12" t="str"/>
      <x:c r="BM921" s="12" t="str"/>
      <x:c r="BN921" s="12" t="str"/>
      <x:c r="BO921" s="12" t="str"/>
      <x:c r="BP921" s="12" t="str"/>
      <x:c r="BQ921" s="12" t="str"/>
    </x:row>
    <x:row r="922">
      <x:c r="A922" s="9" t="str">
        <x:v>pc-241</x:v>
      </x:c>
      <x:c r="B922" s="9" t="str">
        <x:v>love-love-mystery-club</x:v>
      </x:c>
      <x:c r="C922" s="9" t="str">
        <x:v>PC</x:v>
      </x:c>
      <x:c r="D922" s="9" t="str">
        <x:v>Love Love Mystery Club</x:v>
      </x:c>
      <x:c r="E922" s="9" t="str"/>
      <x:c r="F922" s="9" t="str">
        <x:v>LuminDrive</x:v>
      </x:c>
      <x:c r="G922" s="9" t="str">
        <x:v>NANA Stories</x:v>
      </x:c>
      <x:c r="H922" s="9" t="n">
        <x:v>2026</x:v>
      </x:c>
      <x:c r="I922" s="9" t="str">
        <x:v>Yes</x:v>
      </x:c>
      <x:c r="J922" s="9" t="str">
        <x:v>Yes</x:v>
      </x:c>
      <x:c r="K922" s="9" t="str">
        <x:v>Yes</x:v>
      </x:c>
      <x:c r="L922" s="9" t="str">
        <x:v>No</x:v>
      </x:c>
      <x:c r="M922" s="9" t="str">
        <x:v>FMV mystery romance</x:v>
      </x:c>
      <x:c r="N922" s="9" t="str">
        <x:v>Live-action</x:v>
      </x:c>
      <x:c r="O922" s="9" t="n">
        <x:v>10</x:v>
      </x:c>
      <x:c r="P922" s="9" t="str">
        <x:v>Interactive movie</x:v>
      </x:c>
      <x:c r="Q922" s="9" t="str">
        <x:v>Released</x:v>
      </x:c>
      <x:c r="R922" s="9" t="str">
        <x:v>Original production (Thailand)</x:v>
      </x:c>
      <x:c r="S922" s="9" t="str">
        <x:v>macOS</x:v>
      </x:c>
      <x:c r="T922" s="9" t="str">
        <x:v>Thai cast (names verify)</x:v>
      </x:c>
      <x:c r="U922" s="9" t="n">
        <x:v>0</x:v>
      </x:c>
      <x:c r="V922" s="9" t="str">
        <x:v>Yes</x:v>
      </x:c>
      <x:c r="W922" s="9" t="str">
        <x:v>Windows 10 64-bit, Core i3, 4 GB RAM, DirectX 11, 40 GB; also macOS 10.15</x:v>
      </x:c>
      <x:c r="X922" s="9" t="str">
        <x:v>Low</x:v>
      </x:c>
      <x:c r="Y922" s="9" t="str"/>
      <x:c r="Z922" s="9" t="str">
        <x:v>4–6 hr (verify)</x:v>
      </x:c>
      <x:c r="AA922" s="9" t="str">
        <x:v>A Thai high-school detective club whose cases can turn to romance or supernatural horror, fully filmed with real actors.</x:v>
      </x:c>
      <x:c r="AB922" s="9" t="str">
        <x:v>None known</x:v>
      </x:c>
      <x:c r="AC922" s="9" t="str">
        <x:v>Fully filmed live action, Thai audio with English subtitles, branching choices</x:v>
      </x:c>
      <x:c r="AD922" s="9" t="str">
        <x:v>Easy</x:v>
      </x:c>
      <x:c r="AE922" s="9" t="str">
        <x:v>Multiple (verify)</x:v>
      </x:c>
      <x:c r="AF922" s="9" t="str">
        <x:v>One of the first Thai FMV games on Steam; Overwhelmingly Positive at launch.</x:v>
      </x:c>
      <x:c r="AG922" s="9" t="str">
        <x:v>Digital only</x:v>
      </x:c>
      <x:c r="AH922" s="9" t="str">
        <x:v>Yes (Steam)</x:v>
      </x:c>
      <x:c r="AI922" s="9" t="str">
        <x:v>Easy</x:v>
      </x:c>
      <x:c r="AJ922" s="9" t="str">
        <x:v>Steam (Windows/Mac)</x:v>
      </x:c>
      <x:c r="AK922" s="9" t="str">
        <x:v>Steam 9 Jan 2026, $19.99; Overwhelmingly Positive 97% of 615 (Oct 2026).</x:v>
      </x:c>
      <x:c r="AL922" s="10"/>
      <x:c r="AM922" s="10"/>
      <x:c r="AN922" s="10"/>
      <x:c r="AO922" s="9"/>
      <x:c r="AP922" s="11" t="str">
        <x:f>HYPERLINK("https://www.pricecharting.com/search-products?q=Love+Love+Mystery+Club+pc+games&amp;type=prices","PriceCharting")</x:f>
        <x:v>PriceCharting</x:v>
      </x:c>
      <x:c r="AQ922" s="9" t="n">
        <x:v>19.99</x:v>
      </x:c>
      <x:c r="AR922" s="11" t="str">
        <x:v>Steam</x:v>
      </x:c>
      <x:c r="AS922" s="9" t="str">
        <x:f>HYPERLINK("https://store.steampowered.com/app/3904990/","Store")</x:f>
        <x:v>Store</x:v>
      </x:c>
      <x:c r="AT922" s="9" t="str">
        <x:v>2026-10-25</x:v>
      </x:c>
      <x:c r="AU922" s="9"/>
      <x:c r="AV922" s="9"/>
      <x:c r="AW922" s="9"/>
      <x:c r="AX922" s="9"/>
      <x:c r="AY922" s="9"/>
      <x:c r="AZ922" s="9"/>
      <x:c r="BA922" s="11" t="str">
        <x:f>HYPERLINK("https://www.mobygames.com/search/?q=Love+Love+Mystery+Club","MobyGames")</x:f>
        <x:v>MobyGames</x:v>
      </x:c>
      <x:c r="BB922" s="9" t="str"/>
      <x:c r="BC922" s="9" t="str"/>
      <x:c r="BD922" s="9"/>
      <x:c r="BE922" s="9"/>
      <x:c r="BF922" s="11" t="str">
        <x:f>HYPERLINK("https://backloggd.com/search/games/Love%20Love%20Mystery%20Club/","Backloggd")</x:f>
        <x:v>Backloggd</x:v>
      </x:c>
      <x:c r="BG922" s="9"/>
      <x:c r="BH922" s="9"/>
      <x:c r="BI922" s="12" t="str">
        <x:v>No</x:v>
      </x:c>
      <x:c r="BJ922" s="12" t="str"/>
      <x:c r="BK922" s="12" t="str">
        <x:v>No</x:v>
      </x:c>
      <x:c r="BL922" s="12" t="str"/>
      <x:c r="BM922" s="12" t="str"/>
      <x:c r="BN922" s="12" t="str"/>
      <x:c r="BO922" s="12" t="str"/>
      <x:c r="BP922" s="12" t="str"/>
      <x:c r="BQ922" s="12" t="str"/>
    </x:row>
    <x:row r="923">
      <x:c r="A923" s="9" t="str">
        <x:v>pc-242</x:v>
      </x:c>
      <x:c r="B923" s="9" t="str">
        <x:v>blood-money-lethal-eden</x:v>
      </x:c>
      <x:c r="C923" s="9" t="str">
        <x:v>PC</x:v>
      </x:c>
      <x:c r="D923" s="9" t="str">
        <x:v>Blood Money: Lethal Eden</x:v>
      </x:c>
      <x:c r="E923" s="9" t="str"/>
      <x:c r="F923" s="9" t="str">
        <x:v>Bihuo Hudong (碧火互娱)</x:v>
      </x:c>
      <x:c r="G923" s="9" t="str">
        <x:v>Jade Flame</x:v>
      </x:c>
      <x:c r="H923" s="9" t="n">
        <x:v>2026</x:v>
      </x:c>
      <x:c r="I923" s="9" t="str">
        <x:v>Yes</x:v>
      </x:c>
      <x:c r="J923" s="9" t="str">
        <x:v>Yes</x:v>
      </x:c>
      <x:c r="K923" s="9" t="str">
        <x:v>Yes</x:v>
      </x:c>
      <x:c r="L923" s="9" t="str">
        <x:v>No</x:v>
      </x:c>
      <x:c r="M923" s="9" t="str">
        <x:v>First-person FMV thriller</x:v>
      </x:c>
      <x:c r="N923" s="9" t="str">
        <x:v>Live-action</x:v>
      </x:c>
      <x:c r="O923" s="9" t="n">
        <x:v>10</x:v>
      </x:c>
      <x:c r="P923" s="9" t="str">
        <x:v>Interactive movie</x:v>
      </x:c>
      <x:c r="Q923" s="9" t="str">
        <x:v>Released</x:v>
      </x:c>
      <x:c r="R923" s="9" t="str">
        <x:v>Original production (China)</x:v>
      </x:c>
      <x:c r="S923" s="9" t="str"/>
      <x:c r="T923" s="9" t="str">
        <x:v>Chinese cast (names verify); characters Hong Ling, A Lian, Suxin, Xixi, Bai Xiao</x:v>
      </x:c>
      <x:c r="U923" s="9" t="n">
        <x:v>0</x:v>
      </x:c>
      <x:c r="V923" s="9" t="str">
        <x:v>Yes</x:v>
      </x:c>
      <x:c r="W923" s="9" t="str">
        <x:v>Windows 10, Core i3-4590, 4 GB RAM, DirectX 10, 40 GB</x:v>
      </x:c>
      <x:c r="X923" s="9" t="str">
        <x:v>Low</x:v>
      </x:c>
      <x:c r="Y923" s="9" t="str"/>
      <x:c r="Z923" s="9" t="str">
        <x:v>4–5 hr (verify)</x:v>
      </x:c>
      <x:c r="AA923" s="9" t="str">
        <x:v>Lured by an online romance into a Southeast Asian scam compound, you choose your way out, or don't.</x:v>
      </x:c>
      <x:c r="AB923" s="9" t="str">
        <x:v>None known</x:v>
      </x:c>
      <x:c r="AC923" s="9" t="str">
        <x:v>First-person live action, Chinese audio with English subtitles; some images AI-generated (developer disclosure)</x:v>
      </x:c>
      <x:c r="AD923" s="9" t="str">
        <x:v>Moderate; many deaths</x:v>
      </x:c>
      <x:c r="AE923" s="9" t="str">
        <x:v>Multiple (verify)</x:v>
      </x:c>
      <x:c r="AF923" s="9" t="str">
        <x:v>Rides the 2025–26 wave of Chinese anti-scam dramas; Very Positive from 1,350 reviews.</x:v>
      </x:c>
      <x:c r="AG923" s="9" t="str">
        <x:v>Digital only</x:v>
      </x:c>
      <x:c r="AH923" s="9" t="str">
        <x:v>Yes (Steam)</x:v>
      </x:c>
      <x:c r="AI923" s="9" t="str">
        <x:v>Easy</x:v>
      </x:c>
      <x:c r="AJ923" s="9" t="str">
        <x:v>Steam</x:v>
      </x:c>
      <x:c r="AK923" s="9" t="str">
        <x:v>Steam 9 Jan 2026, $8.99; Very Positive 92% of 1,350 (Oct 2026).</x:v>
      </x:c>
      <x:c r="AL923" s="10"/>
      <x:c r="AM923" s="10"/>
      <x:c r="AN923" s="10"/>
      <x:c r="AO923" s="9"/>
      <x:c r="AP923" s="11" t="str">
        <x:f>HYPERLINK("https://www.pricecharting.com/search-products?q=Blood+Money%3A+Lethal+Eden+pc+games&amp;type=prices","PriceCharting")</x:f>
        <x:v>PriceCharting</x:v>
      </x:c>
      <x:c r="AQ923" s="9" t="n">
        <x:v>8.99</x:v>
      </x:c>
      <x:c r="AR923" s="11" t="str">
        <x:v>Steam</x:v>
      </x:c>
      <x:c r="AS923" s="9" t="str">
        <x:f>HYPERLINK("https://store.steampowered.com/app/3850560/","Store")</x:f>
        <x:v>Store</x:v>
      </x:c>
      <x:c r="AT923" s="9" t="str">
        <x:v>2026-10-25</x:v>
      </x:c>
      <x:c r="AU923" s="9"/>
      <x:c r="AV923" s="9"/>
      <x:c r="AW923" s="9"/>
      <x:c r="AX923" s="9"/>
      <x:c r="AY923" s="9"/>
      <x:c r="AZ923" s="9"/>
      <x:c r="BA923" s="11" t="str">
        <x:f>HYPERLINK("https://www.mobygames.com/search/?q=Blood+Money%3A+Lethal+Eden","MobyGames")</x:f>
        <x:v>MobyGames</x:v>
      </x:c>
      <x:c r="BB923" s="9" t="str"/>
      <x:c r="BC923" s="9" t="str"/>
      <x:c r="BD923" s="9"/>
      <x:c r="BE923" s="9"/>
      <x:c r="BF923" s="11" t="str">
        <x:f>HYPERLINK("https://backloggd.com/search/games/Blood%20Money%3A%20Lethal%20Eden/","Backloggd")</x:f>
        <x:v>Backloggd</x:v>
      </x:c>
      <x:c r="BG923" s="9"/>
      <x:c r="BH923" s="9"/>
      <x:c r="BI923" s="12" t="str">
        <x:v>No</x:v>
      </x:c>
      <x:c r="BJ923" s="12" t="str"/>
      <x:c r="BK923" s="12" t="str">
        <x:v>No</x:v>
      </x:c>
      <x:c r="BL923" s="12" t="str"/>
      <x:c r="BM923" s="12" t="str"/>
      <x:c r="BN923" s="12" t="str"/>
      <x:c r="BO923" s="12" t="str"/>
      <x:c r="BP923" s="12" t="str"/>
      <x:c r="BQ923" s="12" t="str"/>
    </x:row>
    <x:row r="924">
      <x:c r="A924" s="9" t="str">
        <x:v>pc-243</x:v>
      </x:c>
      <x:c r="B924" s="9" t="str">
        <x:v>the-vig</x:v>
      </x:c>
      <x:c r="C924" s="9" t="str">
        <x:v>PC</x:v>
      </x:c>
      <x:c r="D924" s="9" t="str">
        <x:v>THE VIG</x:v>
      </x:c>
      <x:c r="E924" s="9" t="str"/>
      <x:c r="F924" s="9" t="str">
        <x:v>Yiying Culture (亦盈文化); Mountain and Sea Studio; Beijing Chaodaigan</x:v>
      </x:c>
      <x:c r="G924" s="9" t="str">
        <x:v>Yiying Culture; Yixiangfeng Interactive</x:v>
      </x:c>
      <x:c r="H924" s="9" t="n">
        <x:v>2026</x:v>
      </x:c>
      <x:c r="I924" s="9" t="str">
        <x:v>Yes</x:v>
      </x:c>
      <x:c r="J924" s="9" t="str">
        <x:v>Yes</x:v>
      </x:c>
      <x:c r="K924" s="9" t="str">
        <x:v>Yes</x:v>
      </x:c>
      <x:c r="L924" s="9" t="str">
        <x:v>No</x:v>
      </x:c>
      <x:c r="M924" s="9" t="str">
        <x:v>FMV revenge thriller</x:v>
      </x:c>
      <x:c r="N924" s="9" t="str">
        <x:v>Live-action</x:v>
      </x:c>
      <x:c r="O924" s="9" t="n">
        <x:v>10</x:v>
      </x:c>
      <x:c r="P924" s="9" t="str">
        <x:v>Interactive movie</x:v>
      </x:c>
      <x:c r="Q924" s="9" t="str">
        <x:v>Released</x:v>
      </x:c>
      <x:c r="R924" s="9" t="str">
        <x:v>Original production (China)</x:v>
      </x:c>
      <x:c r="S924" s="9" t="str"/>
      <x:c r="T924" s="9" t="str">
        <x:v>Chinese cast (names verify); player character Xie En / 'Wu Wei'</x:v>
      </x:c>
      <x:c r="U924" s="9" t="n">
        <x:v>0</x:v>
      </x:c>
      <x:c r="V924" s="9" t="str">
        <x:v>Yes</x:v>
      </x:c>
      <x:c r="W924" s="9" t="str">
        <x:v>Windows 10/11 (spec verify)</x:v>
      </x:c>
      <x:c r="X924" s="9" t="str">
        <x:v>Low</x:v>
      </x:c>
      <x:c r="Y924" s="9" t="str"/>
      <x:c r="Z924" s="9" t="str">
        <x:v>6–8 hr (verify)</x:v>
      </x:c>
      <x:c r="AA924" s="9" t="str">
        <x:v>A framed architect comes back under a new name to take apart his mentor's conglomerate from the inside, across roughly 50 endings.</x:v>
      </x:c>
      <x:c r="AB924" s="9" t="str">
        <x:v>None known</x:v>
      </x:c>
      <x:c r="AC924" s="9" t="str">
        <x:v>Live action with branching choices and quick-time events, Chinese audio with English subtitles</x:v>
      </x:c>
      <x:c r="AD924" s="9" t="str">
        <x:v>Moderate; choices end runs</x:v>
      </x:c>
      <x:c r="AE924" s="9" t="str">
        <x:v>About 50</x:v>
      </x:c>
      <x:c r="AF924" s="9" t="str">
        <x:v>From the studio behind Superscout; Very Positive on Steam.</x:v>
      </x:c>
      <x:c r="AG924" s="9" t="str">
        <x:v>Digital only</x:v>
      </x:c>
      <x:c r="AH924" s="9" t="str">
        <x:v>Yes (Steam)</x:v>
      </x:c>
      <x:c r="AI924" s="9" t="str">
        <x:v>Easy</x:v>
      </x:c>
      <x:c r="AJ924" s="9" t="str">
        <x:v>Steam</x:v>
      </x:c>
      <x:c r="AK924" s="9" t="str">
        <x:v>Steam 5 Mar 2026, $17.99; Very Positive 90% of 488 (Oct 2026).</x:v>
      </x:c>
      <x:c r="AL924" s="10"/>
      <x:c r="AM924" s="10"/>
      <x:c r="AN924" s="10"/>
      <x:c r="AO924" s="9"/>
      <x:c r="AP924" s="11" t="str">
        <x:f>HYPERLINK("https://www.pricecharting.com/search-products?q=THE+VIG+pc+games&amp;type=prices","PriceCharting")</x:f>
        <x:v>PriceCharting</x:v>
      </x:c>
      <x:c r="AQ924" s="9" t="n">
        <x:v>17.99</x:v>
      </x:c>
      <x:c r="AR924" s="11" t="str">
        <x:v>Steam</x:v>
      </x:c>
      <x:c r="AS924" s="9" t="str">
        <x:f>HYPERLINK("https://store.steampowered.com/app/4181110/","Store")</x:f>
        <x:v>Store</x:v>
      </x:c>
      <x:c r="AT924" s="9" t="str">
        <x:v>2026-10-25</x:v>
      </x:c>
      <x:c r="AU924" s="9"/>
      <x:c r="AV924" s="9"/>
      <x:c r="AW924" s="9"/>
      <x:c r="AX924" s="9"/>
      <x:c r="AY924" s="9"/>
      <x:c r="AZ924" s="9"/>
      <x:c r="BA924" s="11" t="str">
        <x:f>HYPERLINK("https://www.mobygames.com/search/?q=THE+VIG","MobyGames")</x:f>
        <x:v>MobyGames</x:v>
      </x:c>
      <x:c r="BB924" s="9" t="str"/>
      <x:c r="BC924" s="9" t="str"/>
      <x:c r="BD924" s="9"/>
      <x:c r="BE924" s="9"/>
      <x:c r="BF924" s="11" t="str">
        <x:f>HYPERLINK("https://backloggd.com/search/games/THE%20VIG/","Backloggd")</x:f>
        <x:v>Backloggd</x:v>
      </x:c>
      <x:c r="BG924" s="9"/>
      <x:c r="BH924" s="9"/>
      <x:c r="BI924" s="12" t="str">
        <x:v>No</x:v>
      </x:c>
      <x:c r="BJ924" s="12" t="str"/>
      <x:c r="BK924" s="12" t="str">
        <x:v>No</x:v>
      </x:c>
      <x:c r="BL924" s="12" t="str"/>
      <x:c r="BM924" s="12" t="str"/>
      <x:c r="BN924" s="12" t="str"/>
      <x:c r="BO924" s="12" t="str"/>
      <x:c r="BP924" s="12" t="str"/>
      <x:c r="BQ924" s="12" t="str"/>
    </x:row>
    <x:row r="925">
      <x:c r="A925" s="9" t="str">
        <x:v>pc-244</x:v>
      </x:c>
      <x:c r="B925" s="9" t="str">
        <x:v>roommates-romance-and-ringing-hearts</x:v>
      </x:c>
      <x:c r="C925" s="9" t="str">
        <x:v>PC</x:v>
      </x:c>
      <x:c r="D925" s="9" t="str">
        <x:v>Roommates, Romance, and Ringing Hearts</x:v>
      </x:c>
      <x:c r="E925" s="9" t="str"/>
      <x:c r="F925" s="9" t="str">
        <x:v>TV Asahi Corporation; Aiming Inc.</x:v>
      </x:c>
      <x:c r="G925" s="9" t="str">
        <x:v>TV Asahi Corporation; Aiming Inc.</x:v>
      </x:c>
      <x:c r="H925" s="9" t="n">
        <x:v>2026</x:v>
      </x:c>
      <x:c r="I925" s="9" t="str">
        <x:v>Yes</x:v>
      </x:c>
      <x:c r="J925" s="9" t="str">
        <x:v>Yes</x:v>
      </x:c>
      <x:c r="K925" s="9" t="str">
        <x:v>Yes</x:v>
      </x:c>
      <x:c r="L925" s="9" t="str">
        <x:v>No</x:v>
      </x:c>
      <x:c r="M925" s="9" t="str">
        <x:v>Live-action romance sim</x:v>
      </x:c>
      <x:c r="N925" s="9" t="str">
        <x:v>Live-action</x:v>
      </x:c>
      <x:c r="O925" s="9" t="n">
        <x:v>9</x:v>
      </x:c>
      <x:c r="P925" s="9" t="str">
        <x:v>Interactive movie</x:v>
      </x:c>
      <x:c r="Q925" s="9" t="str">
        <x:v>Released</x:v>
      </x:c>
      <x:c r="R925" s="9" t="str">
        <x:v>Original production (Japan)</x:v>
      </x:c>
      <x:c r="S925" s="9" t="str">
        <x:v>macOS</x:v>
      </x:c>
      <x:c r="T925" s="9" t="str">
        <x:v>Nao Hanashiro (Nao), Non Nagisa (Nagi), Anon (Anon), Ruka Kitano (Ruka), Mirei Kamiyama (Mirei)</x:v>
      </x:c>
      <x:c r="U925" s="9" t="n">
        <x:v>0</x:v>
      </x:c>
      <x:c r="V925" s="9" t="str">
        <x:v>Yes</x:v>
      </x:c>
      <x:c r="W925" s="9" t="str">
        <x:v>Windows 11, Core i5, 8 GB RAM, DirectX 11, 40 GB; also macOS 15</x:v>
      </x:c>
      <x:c r="X925" s="9" t="str">
        <x:v>Low</x:v>
      </x:c>
      <x:c r="Y925" s="9" t="str"/>
      <x:c r="Z925" s="9" t="str">
        <x:v>8–10 hr (verify)</x:v>
      </x:c>
      <x:c r="AA925" s="9" t="str">
        <x:v>A Japanese TV network's own FMV dating game: a year under one roof with five actresses, shot like a drama.</x:v>
      </x:c>
      <x:c r="AB925" s="9" t="str">
        <x:v>None known</x:v>
      </x:c>
      <x:c r="AC925" s="9" t="str">
        <x:v>Live action, Japanese audio with English subtitles; some illustration drafts AI-assisted (developer disclosure)</x:v>
      </x:c>
      <x:c r="AD925" s="9" t="str">
        <x:v>Easy</x:v>
      </x:c>
      <x:c r="AE925" s="9" t="str">
        <x:v>Multiple (verify)</x:v>
      </x:c>
      <x:c r="AF925" s="9" t="str">
        <x:v>Co-produced by TV Asahi, the first FMV game from a major Japanese broadcaster.</x:v>
      </x:c>
      <x:c r="AG925" s="9" t="str">
        <x:v>Digital only</x:v>
      </x:c>
      <x:c r="AH925" s="9" t="str">
        <x:v>Yes (Steam)</x:v>
      </x:c>
      <x:c r="AI925" s="9" t="str">
        <x:v>Easy</x:v>
      </x:c>
      <x:c r="AJ925" s="9" t="str">
        <x:v>Steam (Windows/Mac)</x:v>
      </x:c>
      <x:c r="AK925" s="9" t="str">
        <x:v>Steam 3 Mar 2026, $11.99; Very Positive 94% of 345 (Oct 2026).</x:v>
      </x:c>
      <x:c r="AL925" s="10"/>
      <x:c r="AM925" s="10"/>
      <x:c r="AN925" s="10"/>
      <x:c r="AO925" s="9"/>
      <x:c r="AP925" s="11" t="str">
        <x:f>HYPERLINK("https://www.pricecharting.com/search-products?q=Roommates%2C+Romance%2C+and+Ringing+Hearts+pc+games&amp;type=prices","PriceCharting")</x:f>
        <x:v>PriceCharting</x:v>
      </x:c>
      <x:c r="AQ925" s="9" t="n">
        <x:v>11.99</x:v>
      </x:c>
      <x:c r="AR925" s="11" t="str">
        <x:v>Steam</x:v>
      </x:c>
      <x:c r="AS925" s="9" t="str">
        <x:f>HYPERLINK("https://store.steampowered.com/app/3898860/","Store")</x:f>
        <x:v>Store</x:v>
      </x:c>
      <x:c r="AT925" s="9" t="str">
        <x:v>2026-10-25</x:v>
      </x:c>
      <x:c r="AU925" s="9"/>
      <x:c r="AV925" s="9"/>
      <x:c r="AW925" s="9"/>
      <x:c r="AX925" s="9"/>
      <x:c r="AY925" s="9"/>
      <x:c r="AZ925" s="9"/>
      <x:c r="BA925" s="11" t="str">
        <x:f>HYPERLINK("https://www.mobygames.com/search/?q=Roommates%2C+Romance%2C+and+Ringing+Hearts","MobyGames")</x:f>
        <x:v>MobyGames</x:v>
      </x:c>
      <x:c r="BB925" s="9" t="str"/>
      <x:c r="BC925" s="9" t="str"/>
      <x:c r="BD925" s="9"/>
      <x:c r="BE925" s="9"/>
      <x:c r="BF925" s="11" t="str">
        <x:f>HYPERLINK("https://backloggd.com/search/games/Roommates%2C%20Romance%2C%20and%20Ringing%20Hearts/","Backloggd")</x:f>
        <x:v>Backloggd</x:v>
      </x:c>
      <x:c r="BG925" s="9"/>
      <x:c r="BH925" s="9"/>
      <x:c r="BI925" s="12" t="str">
        <x:v>No</x:v>
      </x:c>
      <x:c r="BJ925" s="12" t="str"/>
      <x:c r="BK925" s="12" t="str">
        <x:v>No</x:v>
      </x:c>
      <x:c r="BL925" s="12" t="str"/>
      <x:c r="BM925" s="12" t="str"/>
      <x:c r="BN925" s="12" t="str"/>
      <x:c r="BO925" s="12" t="str"/>
      <x:c r="BP925" s="12" t="str"/>
      <x:c r="BQ925" s="12" t="str"/>
    </x:row>
    <x:row r="926">
      <x:c r="A926" s="9" t="str">
        <x:v>pc-245</x:v>
      </x:c>
      <x:c r="B926" s="9" t="str">
        <x:v>the-three-kingdoms-rebirth</x:v>
      </x:c>
      <x:c r="C926" s="9" t="str">
        <x:v>PC</x:v>
      </x:c>
      <x:c r="D926" s="9" t="str">
        <x:v>The Three Kingdoms: Rebirth</x:v>
      </x:c>
      <x:c r="E926" s="9" t="str"/>
      <x:c r="F926" s="9" t="str">
        <x:v>Machiato Interactive (玛奇阿朵互娱科技); Mountain and Sea Studio</x:v>
      </x:c>
      <x:c r="G926" s="9" t="str">
        <x:v>Fenglin Studio; Yixiangfeng Interactive</x:v>
      </x:c>
      <x:c r="H926" s="9" t="n">
        <x:v>2026</x:v>
      </x:c>
      <x:c r="I926" s="9" t="str">
        <x:v>Yes</x:v>
      </x:c>
      <x:c r="J926" s="9" t="str">
        <x:v>Yes</x:v>
      </x:c>
      <x:c r="K926" s="9" t="str">
        <x:v>Yes</x:v>
      </x:c>
      <x:c r="L926" s="9" t="str">
        <x:v>No</x:v>
      </x:c>
      <x:c r="M926" s="9" t="str">
        <x:v>Live-action historical adventure</x:v>
      </x:c>
      <x:c r="N926" s="9" t="str">
        <x:v>Live-action</x:v>
      </x:c>
      <x:c r="O926" s="9" t="n">
        <x:v>10</x:v>
      </x:c>
      <x:c r="P926" s="9" t="str">
        <x:v>Interactive movie</x:v>
      </x:c>
      <x:c r="Q926" s="9" t="str">
        <x:v>Released</x:v>
      </x:c>
      <x:c r="R926" s="9" t="str">
        <x:v>Original production (China)</x:v>
      </x:c>
      <x:c r="S926" s="9" t="str"/>
      <x:c r="T926" s="9" t="str">
        <x:v>Chinese cast (names verify); characters Liu Xiaoshan, Cao Cao, Liu Bei, Sun Quan, Zhen Fu, Cai Zhaoji, Da Qiao</x:v>
      </x:c>
      <x:c r="U926" s="9" t="n">
        <x:v>0</x:v>
      </x:c>
      <x:c r="V926" s="9" t="str">
        <x:v>Yes</x:v>
      </x:c>
      <x:c r="W926" s="9" t="str">
        <x:v>Windows 10 64-bit, Core i3, 4 GB RAM, discrete GPU, 80 GB</x:v>
      </x:c>
      <x:c r="X926" s="9" t="str">
        <x:v>Low</x:v>
      </x:c>
      <x:c r="Y926" s="9" t="str"/>
      <x:c r="Z926" s="9" t="str">
        <x:v>10+ hr (verify)</x:v>
      </x:c>
      <x:c r="AA926" s="9" t="str">
        <x:v>A modern man dropped into a parallel Three Kingdoms, with an English dub, a rarity for the Chinese FMV wave.</x:v>
      </x:c>
      <x:c r="AB926" s="9" t="str">
        <x:v>None known</x:v>
      </x:c>
      <x:c r="AC926" s="9" t="str">
        <x:v>Live action with branching choices; English, Simplified and Traditional Chinese full audio</x:v>
      </x:c>
      <x:c r="AD926" s="9" t="str">
        <x:v>Moderate</x:v>
      </x:c>
      <x:c r="AE926" s="9" t="str">
        <x:v>Multiple (verify)</x:v>
      </x:c>
      <x:c r="AF926" s="9" t="str">
        <x:v>One of the few Chinese FMV games with full English voice-over; 2,500+ reviews in its first six months.</x:v>
      </x:c>
      <x:c r="AG926" s="9" t="str">
        <x:v>Digital only</x:v>
      </x:c>
      <x:c r="AH926" s="9" t="str">
        <x:v>Yes (Steam)</x:v>
      </x:c>
      <x:c r="AI926" s="9" t="str">
        <x:v>Easy</x:v>
      </x:c>
      <x:c r="AJ926" s="9" t="str">
        <x:v>Steam</x:v>
      </x:c>
      <x:c r="AK926" s="9" t="str">
        <x:v>Steam 28 Apr 2026, $19.99; Very Positive 91% of 2,567 (Oct 2026).</x:v>
      </x:c>
      <x:c r="AL926" s="10"/>
      <x:c r="AM926" s="10"/>
      <x:c r="AN926" s="10"/>
      <x:c r="AO926" s="9"/>
      <x:c r="AP926" s="11" t="str">
        <x:f>HYPERLINK("https://www.pricecharting.com/search-products?q=The+Three+Kingdoms%3A+Rebirth+pc+games&amp;type=prices","PriceCharting")</x:f>
        <x:v>PriceCharting</x:v>
      </x:c>
      <x:c r="AQ926" s="9" t="n">
        <x:v>19.99</x:v>
      </x:c>
      <x:c r="AR926" s="11" t="str">
        <x:v>Steam</x:v>
      </x:c>
      <x:c r="AS926" s="9" t="str">
        <x:f>HYPERLINK("https://store.steampowered.com/app/3412900/","Store")</x:f>
        <x:v>Store</x:v>
      </x:c>
      <x:c r="AT926" s="9" t="str">
        <x:v>2026-10-25</x:v>
      </x:c>
      <x:c r="AU926" s="9"/>
      <x:c r="AV926" s="9"/>
      <x:c r="AW926" s="9"/>
      <x:c r="AX926" s="9"/>
      <x:c r="AY926" s="9"/>
      <x:c r="AZ926" s="9"/>
      <x:c r="BA926" s="11" t="str">
        <x:f>HYPERLINK("https://www.mobygames.com/search/?q=The+Three+Kingdoms%3A+Rebirth","MobyGames")</x:f>
        <x:v>MobyGames</x:v>
      </x:c>
      <x:c r="BB926" s="9" t="str"/>
      <x:c r="BC926" s="9" t="str"/>
      <x:c r="BD926" s="9"/>
      <x:c r="BE926" s="9"/>
      <x:c r="BF926" s="11" t="str">
        <x:f>HYPERLINK("https://backloggd.com/search/games/The%20Three%20Kingdoms%3A%20Rebirth/","Backloggd")</x:f>
        <x:v>Backloggd</x:v>
      </x:c>
      <x:c r="BG926" s="9"/>
      <x:c r="BH926" s="9"/>
      <x:c r="BI926" s="12" t="str">
        <x:v>No</x:v>
      </x:c>
      <x:c r="BJ926" s="12" t="str"/>
      <x:c r="BK926" s="12" t="str">
        <x:v>No</x:v>
      </x:c>
      <x:c r="BL926" s="12" t="str"/>
      <x:c r="BM926" s="12" t="str"/>
      <x:c r="BN926" s="12" t="str"/>
      <x:c r="BO926" s="12" t="str"/>
      <x:c r="BP926" s="12" t="str"/>
      <x:c r="BQ926" s="12" t="str"/>
    </x:row>
    <x:row r="927">
      <x:c r="A927" s="9" t="str">
        <x:v>pc-246</x:v>
      </x:c>
      <x:c r="B927" s="9" t="str">
        <x:v>hacked-the-streamer</x:v>
      </x:c>
      <x:c r="C927" s="9" t="str">
        <x:v>PC</x:v>
      </x:c>
      <x:c r="D927" s="9" t="str">
        <x:v>Hacked: The Streamer</x:v>
      </x:c>
      <x:c r="E927" s="9" t="str"/>
      <x:c r="F927" s="9" t="str">
        <x:v>Button Interactive; NAISU</x:v>
      </x:c>
      <x:c r="G927" s="9" t="str">
        <x:v>GameDev.ist; Gamersky Games</x:v>
      </x:c>
      <x:c r="H927" s="9" t="n">
        <x:v>2026</x:v>
      </x:c>
      <x:c r="I927" s="9" t="str">
        <x:v>Yes</x:v>
      </x:c>
      <x:c r="J927" s="9" t="str">
        <x:v>Yes</x:v>
      </x:c>
      <x:c r="K927" s="9" t="str">
        <x:v>Yes</x:v>
      </x:c>
      <x:c r="L927" s="9" t="str">
        <x:v>No</x:v>
      </x:c>
      <x:c r="M927" s="9" t="str">
        <x:v>FMV mystery thriller</x:v>
      </x:c>
      <x:c r="N927" s="9" t="str">
        <x:v>Live-action</x:v>
      </x:c>
      <x:c r="O927" s="9" t="n">
        <x:v>9</x:v>
      </x:c>
      <x:c r="P927" s="9" t="str">
        <x:v>Interactive movie</x:v>
      </x:c>
      <x:c r="Q927" s="9" t="str">
        <x:v>Released</x:v>
      </x:c>
      <x:c r="R927" s="9" t="str">
        <x:v>Original production (Turkey)</x:v>
      </x:c>
      <x:c r="S927" s="9" t="str"/>
      <x:c r="T927" s="9" t="str">
        <x:v>Turkish cast (names verify); characters PinkyPie, Ahmet, Semih, Ali, Deniz</x:v>
      </x:c>
      <x:c r="U927" s="9" t="n">
        <x:v>0</x:v>
      </x:c>
      <x:c r="V927" s="9" t="str">
        <x:v>Yes</x:v>
      </x:c>
      <x:c r="W927" s="9" t="str">
        <x:v>Windows 7 64-bit, 4 GB RAM, DirectX 11, 20 GB</x:v>
      </x:c>
      <x:c r="X927" s="9" t="str">
        <x:v>Low–Med</x:v>
      </x:c>
      <x:c r="Y927" s="9" t="str"/>
      <x:c r="Z927" s="9" t="str">
        <x:v>3–4 hr (verify)</x:v>
      </x:c>
      <x:c r="AA927" s="9" t="str">
        <x:v>A Turkish FMV thriller in which a blackmailed viewer digs through a streamer's life to find who is behind it.</x:v>
      </x:c>
      <x:c r="AB927" s="9" t="str">
        <x:v>None known</x:v>
      </x:c>
      <x:c r="AC927" s="9" t="str">
        <x:v>Live action, English and Turkish full audio, branching choices</x:v>
      </x:c>
      <x:c r="AD927" s="9" t="str">
        <x:v>Moderate</x:v>
      </x:c>
      <x:c r="AE927" s="9" t="str">
        <x:v>Multiple</x:v>
      </x:c>
      <x:c r="AF927" s="9" t="str">
        <x:v>Metacritic 70; carries Sexual Content and Nudity user tags, so check the footage before capture.</x:v>
      </x:c>
      <x:c r="AG927" s="9" t="str">
        <x:v>Digital only</x:v>
      </x:c>
      <x:c r="AH927" s="9" t="str">
        <x:v>Yes (Steam)</x:v>
      </x:c>
      <x:c r="AI927" s="9" t="str">
        <x:v>Easy</x:v>
      </x:c>
      <x:c r="AJ927" s="9" t="str">
        <x:v>Steam</x:v>
      </x:c>
      <x:c r="AK927" s="9" t="str">
        <x:v>Steam 6 Apr 2026, $8.49; Mostly Positive 73% of 267 (Oct 2026).</x:v>
      </x:c>
      <x:c r="AL927" s="10"/>
      <x:c r="AM927" s="10"/>
      <x:c r="AN927" s="10"/>
      <x:c r="AO927" s="9"/>
      <x:c r="AP927" s="11" t="str">
        <x:f>HYPERLINK("https://www.pricecharting.com/search-products?q=Hacked%3A+The+Streamer+pc+games&amp;type=prices","PriceCharting")</x:f>
        <x:v>PriceCharting</x:v>
      </x:c>
      <x:c r="AQ927" s="9" t="n">
        <x:v>8.49</x:v>
      </x:c>
      <x:c r="AR927" s="11" t="str">
        <x:v>Steam</x:v>
      </x:c>
      <x:c r="AS927" s="9" t="str">
        <x:f>HYPERLINK("https://store.steampowered.com/app/2425130/","Store")</x:f>
        <x:v>Store</x:v>
      </x:c>
      <x:c r="AT927" s="9" t="str">
        <x:v>2026-10-25</x:v>
      </x:c>
      <x:c r="AU927" s="9"/>
      <x:c r="AV927" s="9"/>
      <x:c r="AW927" s="9"/>
      <x:c r="AX927" s="9"/>
      <x:c r="AY927" s="9"/>
      <x:c r="AZ927" s="9"/>
      <x:c r="BA927" s="11" t="str">
        <x:f>HYPERLINK("https://www.mobygames.com/search/?q=Hacked%3A+The+Streamer","MobyGames")</x:f>
        <x:v>MobyGames</x:v>
      </x:c>
      <x:c r="BB927" s="9" t="str">
        <x:v>70%</x:v>
      </x:c>
      <x:c r="BC927" s="9" t="str">
        <x:v>Metacritic (PC)</x:v>
      </x:c>
      <x:c r="BD927" s="9" t="str">
        <x:f>HYPERLINK("https://www.metacritic.com/game/hacked-the-streamer/","Source")</x:f>
        <x:v>Source</x:v>
      </x:c>
      <x:c r="BE927" s="9"/>
      <x:c r="BF927" s="11" t="str">
        <x:f>HYPERLINK("https://backloggd.com/search/games/Hacked%3A%20The%20Streamer/","Backloggd")</x:f>
        <x:v>Backloggd</x:v>
      </x:c>
      <x:c r="BG927" s="9"/>
      <x:c r="BH927" s="9"/>
      <x:c r="BI927" s="12" t="str">
        <x:v>No</x:v>
      </x:c>
      <x:c r="BJ927" s="12" t="str"/>
      <x:c r="BK927" s="12" t="str">
        <x:v>No</x:v>
      </x:c>
      <x:c r="BL927" s="12" t="str"/>
      <x:c r="BM927" s="12" t="str"/>
      <x:c r="BN927" s="12" t="str"/>
      <x:c r="BO927" s="12" t="str"/>
      <x:c r="BP927" s="12" t="str"/>
      <x:c r="BQ927" s="12" t="str"/>
    </x:row>
    <x:row r="928">
      <x:c r="A928" s="9" t="str">
        <x:v>pc-247</x:v>
      </x:c>
      <x:c r="B928" s="9" t="str">
        <x:v>subzero</x:v>
      </x:c>
      <x:c r="C928" s="9" t="str">
        <x:v>PC</x:v>
      </x:c>
      <x:c r="D928" s="9" t="str">
        <x:v>SubZero</x:v>
      </x:c>
      <x:c r="E928" s="9" t="str">
        <x:v>冰点之下</x:v>
      </x:c>
      <x:c r="F928" s="9" t="str">
        <x:v>Joy Media Limited</x:v>
      </x:c>
      <x:c r="G928" s="9" t="str">
        <x:v>Fenglin Studio; Yixiangfeng Interactive; Joy Media Limited</x:v>
      </x:c>
      <x:c r="H928" s="9" t="n">
        <x:v>2026</x:v>
      </x:c>
      <x:c r="I928" s="9" t="str">
        <x:v>Yes</x:v>
      </x:c>
      <x:c r="J928" s="9" t="str">
        <x:v>Yes</x:v>
      </x:c>
      <x:c r="K928" s="9" t="str">
        <x:v>Yes</x:v>
      </x:c>
      <x:c r="L928" s="9" t="str">
        <x:v>No</x:v>
      </x:c>
      <x:c r="M928" s="9" t="str">
        <x:v>Live-action survival interactive movie</x:v>
      </x:c>
      <x:c r="N928" s="9" t="str">
        <x:v>Live-action</x:v>
      </x:c>
      <x:c r="O928" s="9" t="n">
        <x:v>10</x:v>
      </x:c>
      <x:c r="P928" s="9" t="str">
        <x:v>Interactive movie</x:v>
      </x:c>
      <x:c r="Q928" s="9" t="str">
        <x:v>Released</x:v>
      </x:c>
      <x:c r="R928" s="9" t="str">
        <x:v>Original production (Singapore/China)</x:v>
      </x:c>
      <x:c r="S928" s="9" t="str"/>
      <x:c r="T928" s="9" t="str">
        <x:v>Cast (names verify); characters Leo, Molly, Erlinda, Reina</x:v>
      </x:c>
      <x:c r="U928" s="9" t="n">
        <x:v>0</x:v>
      </x:c>
      <x:c r="V928" s="9" t="str">
        <x:v>Yes</x:v>
      </x:c>
      <x:c r="W928" s="9" t="str">
        <x:v>Windows 10, Core i3, 4 GB RAM, GTX 1050, DirectX 11, 20 GB</x:v>
      </x:c>
      <x:c r="X928" s="9" t="str">
        <x:v>Low</x:v>
      </x:c>
      <x:c r="Y928" s="9" t="str"/>
      <x:c r="Z928" s="9" t="str">
        <x:v>5–6 hr (verify)</x:v>
      </x:c>
      <x:c r="AA928" s="9" t="str">
        <x:v>A frozen Marina Bay, three survivors and dice rolls that decide who lives: the Singapore-shot FMV that sold the best of 2026's crop.</x:v>
      </x:c>
      <x:c r="AB928" s="9" t="str">
        <x:v>None known</x:v>
      </x:c>
      <x:c r="AC928" s="9" t="str">
        <x:v>Live action with choices and dice checks, Chinese audio, English subtitles (30 languages)</x:v>
      </x:c>
      <x:c r="AD928" s="9" t="str">
        <x:v>Moderate; dice checks</x:v>
      </x:c>
      <x:c r="AE928" s="9" t="str">
        <x:v>Multiple (verify)</x:v>
      </x:c>
      <x:c r="AF928" s="9" t="str">
        <x:v>2,700+ Steam reviews by October 2026, the most of any 2026 FMV release.</x:v>
      </x:c>
      <x:c r="AG928" s="9" t="str">
        <x:v>Digital only</x:v>
      </x:c>
      <x:c r="AH928" s="9" t="str">
        <x:v>Yes (Steam)</x:v>
      </x:c>
      <x:c r="AI928" s="9" t="str">
        <x:v>Easy</x:v>
      </x:c>
      <x:c r="AJ928" s="9" t="str">
        <x:v>Steam</x:v>
      </x:c>
      <x:c r="AK928" s="9" t="str">
        <x:v>Steam 29 May 2026, $9.99; Very Positive 92% of 2,721 (Oct 2026).</x:v>
      </x:c>
      <x:c r="AL928" s="10"/>
      <x:c r="AM928" s="10"/>
      <x:c r="AN928" s="10"/>
      <x:c r="AO928" s="9"/>
      <x:c r="AP928" s="11" t="str">
        <x:f>HYPERLINK("https://www.pricecharting.com/search-products?q=SubZero+pc+games&amp;type=prices","PriceCharting")</x:f>
        <x:v>PriceCharting</x:v>
      </x:c>
      <x:c r="AQ928" s="9" t="n">
        <x:v>9.99</x:v>
      </x:c>
      <x:c r="AR928" s="11" t="str">
        <x:v>Steam</x:v>
      </x:c>
      <x:c r="AS928" s="9" t="str">
        <x:f>HYPERLINK("https://store.steampowered.com/app/3711170/","Store")</x:f>
        <x:v>Store</x:v>
      </x:c>
      <x:c r="AT928" s="9" t="str">
        <x:v>2026-10-25</x:v>
      </x:c>
      <x:c r="AU928" s="9"/>
      <x:c r="AV928" s="9"/>
      <x:c r="AW928" s="9"/>
      <x:c r="AX928" s="9"/>
      <x:c r="AY928" s="9"/>
      <x:c r="AZ928" s="9"/>
      <x:c r="BA928" s="11" t="str">
        <x:f>HYPERLINK("https://www.mobygames.com/search/?q=SubZero","MobyGames")</x:f>
        <x:v>MobyGames</x:v>
      </x:c>
      <x:c r="BB928" s="9" t="str"/>
      <x:c r="BC928" s="9" t="str"/>
      <x:c r="BD928" s="9"/>
      <x:c r="BE928" s="9"/>
      <x:c r="BF928" s="11" t="str">
        <x:f>HYPERLINK("https://backloggd.com/search/games/SubZero/","Backloggd")</x:f>
        <x:v>Backloggd</x:v>
      </x:c>
      <x:c r="BG928" s="9"/>
      <x:c r="BH928" s="9"/>
      <x:c r="BI928" s="12" t="str">
        <x:v>No</x:v>
      </x:c>
      <x:c r="BJ928" s="12" t="str"/>
      <x:c r="BK928" s="12" t="str">
        <x:v>No</x:v>
      </x:c>
      <x:c r="BL928" s="12" t="str"/>
      <x:c r="BM928" s="12" t="str"/>
      <x:c r="BN928" s="12" t="str"/>
      <x:c r="BO928" s="12" t="str"/>
      <x:c r="BP928" s="12" t="str"/>
      <x:c r="BQ928" s="12" t="str"/>
    </x:row>
    <x:row r="929">
      <x:c r="A929" s="9" t="str">
        <x:v>pc-248</x:v>
      </x:c>
      <x:c r="B929" s="9" t="str">
        <x:v>road-to-empress-ii</x:v>
      </x:c>
      <x:c r="C929" s="9" t="str">
        <x:v>PC</x:v>
      </x:c>
      <x:c r="D929" s="9" t="str">
        <x:v>Road to Empress II</x:v>
      </x:c>
      <x:c r="E929" s="9" t="str">
        <x:v>Road to Empress Ⅱ</x:v>
      </x:c>
      <x:c r="F929" s="9" t="str">
        <x:v>New One Studio</x:v>
      </x:c>
      <x:c r="G929" s="9" t="str">
        <x:v>New One Studio; Ariel</x:v>
      </x:c>
      <x:c r="H929" s="9" t="n">
        <x:v>2026</x:v>
      </x:c>
      <x:c r="I929" s="9" t="str">
        <x:v>Yes</x:v>
      </x:c>
      <x:c r="J929" s="9" t="str">
        <x:v>Yes</x:v>
      </x:c>
      <x:c r="K929" s="9" t="str">
        <x:v>Yes</x:v>
      </x:c>
      <x:c r="L929" s="9" t="str">
        <x:v>No</x:v>
      </x:c>
      <x:c r="M929" s="9" t="str">
        <x:v>FMV palace drama</x:v>
      </x:c>
      <x:c r="N929" s="9" t="str">
        <x:v>Live-action</x:v>
      </x:c>
      <x:c r="O929" s="9" t="n">
        <x:v>10</x:v>
      </x:c>
      <x:c r="P929" s="9" t="str">
        <x:v>Interactive movie</x:v>
      </x:c>
      <x:c r="Q929" s="9" t="str">
        <x:v>Released</x:v>
      </x:c>
      <x:c r="R929" s="9" t="str">
        <x:v>Original production (China), inspired by Wu Zetian</x:v>
      </x:c>
      <x:c r="S929" s="9" t="str"/>
      <x:c r="T929" s="9" t="str">
        <x:v>Kuan Hung, Evie Huang, Zeawo, Hana Lin</x:v>
      </x:c>
      <x:c r="U929" s="9" t="n">
        <x:v>0</x:v>
      </x:c>
      <x:c r="V929" s="9" t="str">
        <x:v>Yes</x:v>
      </x:c>
      <x:c r="W929" s="9" t="str">
        <x:v>Windows 10/11 64-bit, Core i3, 4 GB RAM, DirectX 11, 10 GB</x:v>
      </x:c>
      <x:c r="X929" s="9" t="str">
        <x:v>Low</x:v>
      </x:c>
      <x:c r="Y929" s="9" t="str"/>
      <x:c r="Z929" s="9" t="str">
        <x:v>About 1,000 minutes of footage</x:v>
      </x:c>
      <x:c r="AA929" s="9" t="str">
        <x:v>The second half of New One Studio's palace drama: the climb to the throne itself, on built sets.</x:v>
      </x:c>
      <x:c r="AB929" s="9" t="str">
        <x:v>None known</x:v>
      </x:c>
      <x:c r="AC929" s="9" t="str">
        <x:v>Live action with branching choices, Chinese audio with English subtitles</x:v>
      </x:c>
      <x:c r="AD929" s="9" t="str">
        <x:v>Moderate; choices can end runs</x:v>
      </x:c>
      <x:c r="AE929" s="9" t="str">
        <x:v>Many (verify)</x:v>
      </x:c>
      <x:c r="AF929" s="9" t="str">
        <x:v>Carries Sexual Content and Nudity user tags like its first part; a Bloopers Pack is sold as DLC.</x:v>
      </x:c>
      <x:c r="AG929" s="9" t="str">
        <x:v>Bloopers Pack DLC; Road to Empress Collection bundle with Part I</x:v>
      </x:c>
      <x:c r="AH929" s="9" t="str">
        <x:v>Yes (Steam)</x:v>
      </x:c>
      <x:c r="AI929" s="9" t="str">
        <x:v>Easy</x:v>
      </x:c>
      <x:c r="AJ929" s="9" t="str">
        <x:v>Steam</x:v>
      </x:c>
      <x:c r="AK929" s="9" t="str">
        <x:v>Steam 8 Jun 2026, $18.00; Mostly Positive 76% of 527 (Oct 2026). Sequel to Road to Empress I (pc-228), so it has its own gameId.</x:v>
      </x:c>
      <x:c r="AL929" s="10"/>
      <x:c r="AM929" s="10"/>
      <x:c r="AN929" s="10"/>
      <x:c r="AO929" s="9"/>
      <x:c r="AP929" s="11" t="str">
        <x:f>HYPERLINK("https://www.pricecharting.com/search-products?q=Road+to+Empress+II+pc+games&amp;type=prices","PriceCharting")</x:f>
        <x:v>PriceCharting</x:v>
      </x:c>
      <x:c r="AQ929" s="9" t="n">
        <x:v>18</x:v>
      </x:c>
      <x:c r="AR929" s="11" t="str">
        <x:v>Steam</x:v>
      </x:c>
      <x:c r="AS929" s="9" t="str">
        <x:f>HYPERLINK("https://store.steampowered.com/app/4148240/","Store")</x:f>
        <x:v>Store</x:v>
      </x:c>
      <x:c r="AT929" s="9" t="str">
        <x:v>2026-10-25</x:v>
      </x:c>
      <x:c r="AU929" s="9"/>
      <x:c r="AV929" s="9"/>
      <x:c r="AW929" s="9"/>
      <x:c r="AX929" s="9"/>
      <x:c r="AY929" s="9"/>
      <x:c r="AZ929" s="9"/>
      <x:c r="BA929" s="11" t="str">
        <x:f>HYPERLINK("https://www.mobygames.com/search/?q=Road+to+Empress+II","MobyGames")</x:f>
        <x:v>MobyGames</x:v>
      </x:c>
      <x:c r="BB929" s="9" t="str"/>
      <x:c r="BC929" s="9" t="str"/>
      <x:c r="BD929" s="9"/>
      <x:c r="BE929" s="9"/>
      <x:c r="BF929" s="11" t="str">
        <x:f>HYPERLINK("https://backloggd.com/search/games/Road%20to%20Empress%20II/","Backloggd")</x:f>
        <x:v>Backloggd</x:v>
      </x:c>
      <x:c r="BG929" s="9"/>
      <x:c r="BH929" s="9"/>
      <x:c r="BI929" s="12" t="str">
        <x:v>No</x:v>
      </x:c>
      <x:c r="BJ929" s="12" t="str"/>
      <x:c r="BK929" s="12" t="str">
        <x:v>No</x:v>
      </x:c>
      <x:c r="BL929" s="12" t="str"/>
      <x:c r="BM929" s="12" t="str"/>
      <x:c r="BN929" s="12" t="str"/>
      <x:c r="BO929" s="12" t="str"/>
      <x:c r="BP929" s="12" t="str"/>
      <x:c r="BQ929" s="12" t="str"/>
    </x:row>
    <x:row r="930">
      <x:c r="A930" s="9" t="str">
        <x:v>pc-249</x:v>
      </x:c>
      <x:c r="B930" s="9" t="str">
        <x:v>evil-school</x:v>
      </x:c>
      <x:c r="C930" s="9" t="str">
        <x:v>PC</x:v>
      </x:c>
      <x:c r="D930" s="9" t="str">
        <x:v>Evil School</x:v>
      </x:c>
      <x:c r="E930" s="9" t="str"/>
      <x:c r="F930" s="9" t="str">
        <x:v>CineGame Interactive</x:v>
      </x:c>
      <x:c r="G930" s="9" t="str">
        <x:v>CineGame Interactive</x:v>
      </x:c>
      <x:c r="H930" s="9" t="n">
        <x:v>2026</x:v>
      </x:c>
      <x:c r="I930" s="9" t="str">
        <x:v>Yes</x:v>
      </x:c>
      <x:c r="J930" s="9" t="str">
        <x:v>Yes</x:v>
      </x:c>
      <x:c r="K930" s="9" t="str">
        <x:v>Yes</x:v>
      </x:c>
      <x:c r="L930" s="9" t="str">
        <x:v>No</x:v>
      </x:c>
      <x:c r="M930" s="9" t="str">
        <x:v>FMV revenge drama</x:v>
      </x:c>
      <x:c r="N930" s="9" t="str">
        <x:v>Live-action</x:v>
      </x:c>
      <x:c r="O930" s="9" t="n">
        <x:v>10</x:v>
      </x:c>
      <x:c r="P930" s="9" t="str">
        <x:v>Interactive movie</x:v>
      </x:c>
      <x:c r="Q930" s="9" t="str">
        <x:v>Released</x:v>
      </x:c>
      <x:c r="R930" s="9" t="str">
        <x:v>Original production (China)</x:v>
      </x:c>
      <x:c r="S930" s="9" t="str">
        <x:v>macOS</x:v>
      </x:c>
      <x:c r="T930" s="9" t="str">
        <x:v>Zhang Xinhua, Min Zheng and 12 more lead actors (roles verify)</x:v>
      </x:c>
      <x:c r="U930" s="9" t="n">
        <x:v>0</x:v>
      </x:c>
      <x:c r="V930" s="9" t="str">
        <x:v>Yes</x:v>
      </x:c>
      <x:c r="W930" s="9" t="str">
        <x:v>Windows 10, Core i3, 2 GB RAM, DirectX 10, 40 GB; also macOS 11</x:v>
      </x:c>
      <x:c r="X930" s="9" t="str">
        <x:v>Low</x:v>
      </x:c>
      <x:c r="Y930" s="9" t="str"/>
      <x:c r="Z930" s="9" t="str">
        <x:v>4–5 hr (verify)</x:v>
      </x:c>
      <x:c r="AA930" s="9" t="str">
        <x:v>An anti-bullying revenge FMV with full English audio: back to the school that buried a girl's disappearance, with a list of names.</x:v>
      </x:c>
      <x:c r="AB930" s="9" t="str">
        <x:v>None known</x:v>
      </x:c>
      <x:c r="AC930" s="9" t="str">
        <x:v>Live action, English and Chinese full audio; some shots and voice-overs AI pre-rendered (developer disclosure)</x:v>
      </x:c>
      <x:c r="AD930" s="9" t="str">
        <x:v>Moderate</x:v>
      </x:c>
      <x:c r="AE930" s="9" t="str">
        <x:v>Multiple (verify)</x:v>
      </x:c>
      <x:c r="AF930" s="9" t="str">
        <x:v>From the Killed by Love: 99 Times studio.</x:v>
      </x:c>
      <x:c r="AG930" s="9" t="str">
        <x:v>Digital only; bundle with Killed by Love: 99 Times</x:v>
      </x:c>
      <x:c r="AH930" s="9" t="str">
        <x:v>Yes (Steam)</x:v>
      </x:c>
      <x:c r="AI930" s="9" t="str">
        <x:v>Easy</x:v>
      </x:c>
      <x:c r="AJ930" s="9" t="str">
        <x:v>Steam (Windows/Mac)</x:v>
      </x:c>
      <x:c r="AK930" s="9" t="str">
        <x:v>Steam 13 Aug 2026, $7.99; Very Positive 92% of 1,119 (Oct 2026).</x:v>
      </x:c>
      <x:c r="AL930" s="10"/>
      <x:c r="AM930" s="10"/>
      <x:c r="AN930" s="10"/>
      <x:c r="AO930" s="9"/>
      <x:c r="AP930" s="11" t="str">
        <x:f>HYPERLINK("https://www.pricecharting.com/search-products?q=Evil+School+pc+games&amp;type=prices","PriceCharting")</x:f>
        <x:v>PriceCharting</x:v>
      </x:c>
      <x:c r="AQ930" s="9" t="n">
        <x:v>7.99</x:v>
      </x:c>
      <x:c r="AR930" s="11" t="str">
        <x:v>Steam</x:v>
      </x:c>
      <x:c r="AS930" s="9" t="str">
        <x:f>HYPERLINK("https://store.steampowered.com/app/3818020/","Store")</x:f>
        <x:v>Store</x:v>
      </x:c>
      <x:c r="AT930" s="9" t="str">
        <x:v>2026-10-25</x:v>
      </x:c>
      <x:c r="AU930" s="9"/>
      <x:c r="AV930" s="9"/>
      <x:c r="AW930" s="9"/>
      <x:c r="AX930" s="9"/>
      <x:c r="AY930" s="9"/>
      <x:c r="AZ930" s="9"/>
      <x:c r="BA930" s="11" t="str">
        <x:f>HYPERLINK("https://www.mobygames.com/search/?q=Evil+School","MobyGames")</x:f>
        <x:v>MobyGames</x:v>
      </x:c>
      <x:c r="BB930" s="9" t="str"/>
      <x:c r="BC930" s="9" t="str"/>
      <x:c r="BD930" s="9"/>
      <x:c r="BE930" s="9"/>
      <x:c r="BF930" s="11" t="str">
        <x:f>HYPERLINK("https://backloggd.com/search/games/Evil%20School/","Backloggd")</x:f>
        <x:v>Backloggd</x:v>
      </x:c>
      <x:c r="BG930" s="9"/>
      <x:c r="BH930" s="9"/>
      <x:c r="BI930" s="12" t="str">
        <x:v>No</x:v>
      </x:c>
      <x:c r="BJ930" s="12" t="str"/>
      <x:c r="BK930" s="12" t="str">
        <x:v>No</x:v>
      </x:c>
      <x:c r="BL930" s="12" t="str"/>
      <x:c r="BM930" s="12" t="str"/>
      <x:c r="BN930" s="12" t="str"/>
      <x:c r="BO930" s="12" t="str"/>
      <x:c r="BP930" s="12" t="str"/>
      <x:c r="BQ930" s="12" t="str"/>
    </x:row>
    <x:row r="931">
      <x:c r="A931" s="9" t="str">
        <x:v>pc-250</x:v>
      </x:c>
      <x:c r="B931" s="9" t="str">
        <x:v>inner-scales-1-choice</x:v>
      </x:c>
      <x:c r="C931" s="9" t="str">
        <x:v>PC</x:v>
      </x:c>
      <x:c r="D931" s="9" t="str">
        <x:v>Inner Scales 1: Choice</x:v>
      </x:c>
      <x:c r="E931" s="9" t="str">
        <x:v>Inner Scales 1:Choice</x:v>
      </x:c>
      <x:c r="F931" s="9" t="str">
        <x:v>MYSTERY CROWN</x:v>
      </x:c>
      <x:c r="G931" s="9" t="str">
        <x:v>MYSTERY CROWN</x:v>
      </x:c>
      <x:c r="H931" s="9" t="n">
        <x:v>2026</x:v>
      </x:c>
      <x:c r="I931" s="9" t="str">
        <x:v>Yes</x:v>
      </x:c>
      <x:c r="J931" s="9" t="str">
        <x:v>Yes</x:v>
      </x:c>
      <x:c r="K931" s="9" t="str">
        <x:v>Yes</x:v>
      </x:c>
      <x:c r="L931" s="9" t="str">
        <x:v>No</x:v>
      </x:c>
      <x:c r="M931" s="9" t="str">
        <x:v>First-person FMV thriller</x:v>
      </x:c>
      <x:c r="N931" s="9" t="str">
        <x:v>Live-action</x:v>
      </x:c>
      <x:c r="O931" s="9" t="n">
        <x:v>10</x:v>
      </x:c>
      <x:c r="P931" s="9" t="str">
        <x:v>Interactive movie</x:v>
      </x:c>
      <x:c r="Q931" s="9" t="str">
        <x:v>Released</x:v>
      </x:c>
      <x:c r="R931" s="9" t="str">
        <x:v>Original production (China)</x:v>
      </x:c>
      <x:c r="S931" s="9" t="str">
        <x:v>macOS</x:v>
      </x:c>
      <x:c r="T931" s="9" t="str">
        <x:v>Chinese cast (names verify); characters Zhang Cheng, Zhao Mengyao, Su Qingqian, Lin Yuwei, Xia Meng, Su Wan, Qin Xue, Shen Xingyao, Zhang Xiaoai</x:v>
      </x:c>
      <x:c r="U931" s="9" t="n">
        <x:v>0</x:v>
      </x:c>
      <x:c r="V931" s="9" t="str">
        <x:v>Yes</x:v>
      </x:c>
      <x:c r="W931" s="9" t="str">
        <x:v>Windows 10 64-bit, Core i3, 4 GB RAM, DirectX 11, 20 GB; also macOS 10.13</x:v>
      </x:c>
      <x:c r="X931" s="9" t="str">
        <x:v>Low</x:v>
      </x:c>
      <x:c r="Y931" s="9" t="str"/>
      <x:c r="Z931" s="9" t="str">
        <x:v>3–4 hr (verify)</x:v>
      </x:c>
      <x:c r="AA931" s="9" t="str">
        <x:v>Eight captive women and a first-person camera: MYSTERY CROWN's Saw-style choice thriller.</x:v>
      </x:c>
      <x:c r="AB931" s="9" t="str">
        <x:v>None known</x:v>
      </x:c>
      <x:c r="AC931" s="9" t="str">
        <x:v>First-person live action, Chinese audio with English subtitles; some store and UI art AI-enhanced (developer disclosure)</x:v>
      </x:c>
      <x:c r="AD931" s="9" t="str">
        <x:v>Moderate</x:v>
      </x:c>
      <x:c r="AE931" s="9" t="str">
        <x:v>Multiple (verify)</x:v>
      </x:c>
      <x:c r="AF931" s="9" t="str">
        <x:v>MYSTERY CROWN also made Back, Mute and Survivor's Notes.</x:v>
      </x:c>
      <x:c r="AG931" s="9" t="str">
        <x:v>Digital only</x:v>
      </x:c>
      <x:c r="AH931" s="9" t="str">
        <x:v>Yes (Steam)</x:v>
      </x:c>
      <x:c r="AI931" s="9" t="str">
        <x:v>Easy</x:v>
      </x:c>
      <x:c r="AJ931" s="9" t="str">
        <x:v>Steam (Windows/Mac)</x:v>
      </x:c>
      <x:c r="AK931" s="9" t="str">
        <x:v>Steam 25 Jul 2026, $6.99; Very Positive 86% of 926 (Oct 2026).</x:v>
      </x:c>
      <x:c r="AL931" s="10"/>
      <x:c r="AM931" s="10"/>
      <x:c r="AN931" s="10"/>
      <x:c r="AO931" s="9"/>
      <x:c r="AP931" s="11" t="str">
        <x:f>HYPERLINK("https://www.pricecharting.com/search-products?q=Inner+Scales+1%3A+Choice+pc+games&amp;type=prices","PriceCharting")</x:f>
        <x:v>PriceCharting</x:v>
      </x:c>
      <x:c r="AQ931" s="9" t="n">
        <x:v>6.99</x:v>
      </x:c>
      <x:c r="AR931" s="11" t="str">
        <x:v>Steam</x:v>
      </x:c>
      <x:c r="AS931" s="9" t="str">
        <x:f>HYPERLINK("https://store.steampowered.com/app/4699920/","Store")</x:f>
        <x:v>Store</x:v>
      </x:c>
      <x:c r="AT931" s="9" t="str">
        <x:v>2026-10-25</x:v>
      </x:c>
      <x:c r="AU931" s="9"/>
      <x:c r="AV931" s="9"/>
      <x:c r="AW931" s="9"/>
      <x:c r="AX931" s="9"/>
      <x:c r="AY931" s="9"/>
      <x:c r="AZ931" s="9"/>
      <x:c r="BA931" s="11" t="str">
        <x:f>HYPERLINK("https://www.mobygames.com/search/?q=Inner+Scales+1%3A+Choice","MobyGames")</x:f>
        <x:v>MobyGames</x:v>
      </x:c>
      <x:c r="BB931" s="9" t="str"/>
      <x:c r="BC931" s="9" t="str"/>
      <x:c r="BD931" s="9"/>
      <x:c r="BE931" s="9"/>
      <x:c r="BF931" s="11" t="str">
        <x:f>HYPERLINK("https://backloggd.com/search/games/Inner%20Scales%201%3A%20Choice/","Backloggd")</x:f>
        <x:v>Backloggd</x:v>
      </x:c>
      <x:c r="BG931" s="9"/>
      <x:c r="BH931" s="9"/>
      <x:c r="BI931" s="12" t="str">
        <x:v>No</x:v>
      </x:c>
      <x:c r="BJ931" s="12" t="str"/>
      <x:c r="BK931" s="12" t="str">
        <x:v>No</x:v>
      </x:c>
      <x:c r="BL931" s="12" t="str"/>
      <x:c r="BM931" s="12" t="str"/>
      <x:c r="BN931" s="12" t="str"/>
      <x:c r="BO931" s="12" t="str"/>
      <x:c r="BP931" s="12" t="str"/>
      <x:c r="BQ931" s="12" t="str"/>
    </x:row>
    <x:row r="932">
      <x:c r="A932" s="9" t="str">
        <x:v>pc-251</x:v>
      </x:c>
      <x:c r="B932" s="9" t="str">
        <x:v>tenebris-somnia</x:v>
      </x:c>
      <x:c r="C932" s="9" t="str">
        <x:v>PC</x:v>
      </x:c>
      <x:c r="D932" s="9" t="str">
        <x:v>Tenebris Somnia</x:v>
      </x:c>
      <x:c r="E932" s="9" t="str"/>
      <x:c r="F932" s="9" t="str">
        <x:v>Andrés Borghi; Saibot Studios</x:v>
      </x:c>
      <x:c r="G932" s="9" t="str">
        <x:v>New Blood Interactive</x:v>
      </x:c>
      <x:c r="H932" s="9" t="n">
        <x:v>2026</x:v>
      </x:c>
      <x:c r="I932" s="9" t="str">
        <x:v>Yes</x:v>
      </x:c>
      <x:c r="J932" s="9" t="str">
        <x:v>Yes</x:v>
      </x:c>
      <x:c r="K932" s="9" t="str">
        <x:v>Yes</x:v>
      </x:c>
      <x:c r="L932" s="9" t="str">
        <x:v>No</x:v>
      </x:c>
      <x:c r="M932" s="9" t="str">
        <x:v>2D survival horror with live-action sequences</x:v>
      </x:c>
      <x:c r="N932" s="9" t="str">
        <x:v>Live-action</x:v>
      </x:c>
      <x:c r="O932" s="9" t="n">
        <x:v>3</x:v>
      </x:c>
      <x:c r="P932" s="9" t="str">
        <x:v>Cutscenes only</x:v>
      </x:c>
      <x:c r="Q932" s="9" t="str">
        <x:v>Released</x:v>
      </x:c>
      <x:c r="R932" s="9" t="str">
        <x:v>Original production</x:v>
      </x:c>
      <x:c r="S932" s="9" t="str"/>
      <x:c r="T932" s="9" t="str">
        <x:v>Argentine film cast (names verify)</x:v>
      </x:c>
      <x:c r="U932" s="9" t="n">
        <x:v>0</x:v>
      </x:c>
      <x:c r="V932" s="9" t="str">
        <x:v>Yes</x:v>
      </x:c>
      <x:c r="W932" s="9" t="str">
        <x:v>Windows 10 64-bit, 2.4 GHz dual-core, 8 GB RAM, 4 GB VRAM, DirectX 11, 13 GB</x:v>
      </x:c>
      <x:c r="X932" s="9" t="str">
        <x:v>Low</x:v>
      </x:c>
      <x:c r="Y932" s="9" t="str"/>
      <x:c r="Z932" s="9" t="str">
        <x:v>6–8 hr (verify)</x:v>
      </x:c>
      <x:c r="AA932" s="9" t="str">
        <x:v>An 8-bit survival horror that cuts to a live-action horror film at its key beats, shot by an Argentine crew.</x:v>
      </x:c>
      <x:c r="AB932" s="9" t="str">
        <x:v>None known</x:v>
      </x:c>
      <x:c r="AC932" s="9" t="str">
        <x:v>Live-action film sequences at story points; the game itself is pixel art</x:v>
      </x:c>
      <x:c r="AD932" s="9" t="str">
        <x:v>Moderate</x:v>
      </x:c>
      <x:c r="AE932" s="9" t="str">
        <x:v>Multiple (verify)</x:v>
      </x:c>
      <x:c r="AF932" s="9" t="str">
        <x:v>New Blood's first FMV hybrid; 1,000+ reviews in its first ten days.</x:v>
      </x:c>
      <x:c r="AG932" s="9" t="str">
        <x:v>Digital only</x:v>
      </x:c>
      <x:c r="AH932" s="9" t="str">
        <x:v>Yes (Steam)</x:v>
      </x:c>
      <x:c r="AI932" s="9" t="str">
        <x:v>Easy</x:v>
      </x:c>
      <x:c r="AJ932" s="9" t="str">
        <x:v>Steam</x:v>
      </x:c>
      <x:c r="AK932" s="9" t="str">
        <x:v>Steam 16 Oct 2026, $24.99 (20% launch discount); Very Positive 93% of 1,059 (Oct 2026). Cutscenes-only title kept for its scale.</x:v>
      </x:c>
      <x:c r="AL932" s="10"/>
      <x:c r="AM932" s="10"/>
      <x:c r="AN932" s="10"/>
      <x:c r="AO932" s="9"/>
      <x:c r="AP932" s="11" t="str">
        <x:f>HYPERLINK("https://www.pricecharting.com/search-products?q=Tenebris+Somnia+pc+games&amp;type=prices","PriceCharting")</x:f>
        <x:v>PriceCharting</x:v>
      </x:c>
      <x:c r="AQ932" s="9" t="n">
        <x:v>24.99</x:v>
      </x:c>
      <x:c r="AR932" s="11" t="str">
        <x:v>Steam</x:v>
      </x:c>
      <x:c r="AS932" s="9" t="str">
        <x:f>HYPERLINK("https://store.steampowered.com/app/2121510/","Store")</x:f>
        <x:v>Store</x:v>
      </x:c>
      <x:c r="AT932" s="9" t="str">
        <x:v>2026-10-25</x:v>
      </x:c>
      <x:c r="AU932" s="9"/>
      <x:c r="AV932" s="9"/>
      <x:c r="AW932" s="9"/>
      <x:c r="AX932" s="9"/>
      <x:c r="AY932" s="9"/>
      <x:c r="AZ932" s="9"/>
      <x:c r="BA932" s="11" t="str">
        <x:f>HYPERLINK("https://www.mobygames.com/search/?q=Tenebris+Somnia","MobyGames")</x:f>
        <x:v>MobyGames</x:v>
      </x:c>
      <x:c r="BB932" s="9" t="str"/>
      <x:c r="BC932" s="9" t="str"/>
      <x:c r="BD932" s="9"/>
      <x:c r="BE932" s="9"/>
      <x:c r="BF932" s="11" t="str">
        <x:f>HYPERLINK("https://backloggd.com/search/games/Tenebris%20Somnia/","Backloggd")</x:f>
        <x:v>Backloggd</x:v>
      </x:c>
      <x:c r="BG932" s="9"/>
      <x:c r="BH932" s="9"/>
      <x:c r="BI932" s="12" t="str">
        <x:v>No</x:v>
      </x:c>
      <x:c r="BJ932" s="12" t="str"/>
      <x:c r="BK932" s="12" t="str">
        <x:v>No</x:v>
      </x:c>
      <x:c r="BL932" s="12" t="str"/>
      <x:c r="BM932" s="12" t="str"/>
      <x:c r="BN932" s="12" t="str"/>
      <x:c r="BO932" s="12" t="str"/>
      <x:c r="BP932" s="12" t="str"/>
      <x:c r="BQ932" s="12" t="str"/>
    </x:row>
    <x:row r="933">
      <x:c r="A933" s="9" t="str">
        <x:v>pc-252</x:v>
      </x:c>
      <x:c r="B933" s="9" t="str">
        <x:v>starship-troopers-ultimate-bug-war</x:v>
      </x:c>
      <x:c r="C933" s="9" t="str">
        <x:v>PC</x:v>
      </x:c>
      <x:c r="D933" s="9" t="str">
        <x:v>Starship Troopers: Ultimate Bug War!</x:v>
      </x:c>
      <x:c r="E933" s="9" t="str"/>
      <x:c r="F933" s="9" t="str">
        <x:v>Auroch Digital</x:v>
      </x:c>
      <x:c r="G933" s="9" t="str">
        <x:v>Dotemu; Game Source Entertainment</x:v>
      </x:c>
      <x:c r="H933" s="9" t="n">
        <x:v>2026</x:v>
      </x:c>
      <x:c r="I933" s="9" t="str">
        <x:v>Yes</x:v>
      </x:c>
      <x:c r="J933" s="9" t="str">
        <x:v>Yes</x:v>
      </x:c>
      <x:c r="K933" s="9" t="str">
        <x:v>Yes</x:v>
      </x:c>
      <x:c r="L933" s="9" t="str">
        <x:v>No</x:v>
      </x:c>
      <x:c r="M933" s="9" t="str">
        <x:v>Retro first-person shooter</x:v>
      </x:c>
      <x:c r="N933" s="9" t="str">
        <x:v>Live-action</x:v>
      </x:c>
      <x:c r="O933" s="9" t="n">
        <x:v>2</x:v>
      </x:c>
      <x:c r="P933" s="9" t="str">
        <x:v>Cutscenes only</x:v>
      </x:c>
      <x:c r="Q933" s="9" t="str">
        <x:v>Released</x:v>
      </x:c>
      <x:c r="R933" s="9" t="str">
        <x:v>Licensed (Starship Troopers, 1997 film)</x:v>
      </x:c>
      <x:c r="S933" s="9" t="str">
        <x:v>PS5, Xbox Series X/S, Switch 2 (16 Mar 2026)</x:v>
      </x:c>
      <x:c r="T933" s="9" t="str">
        <x:v>Casper Van Dien (General Johnny Rico)</x:v>
      </x:c>
      <x:c r="U933" s="9" t="n">
        <x:v>0</x:v>
      </x:c>
      <x:c r="V933" s="9" t="str">
        <x:v>Yes</x:v>
      </x:c>
      <x:c r="W933" s="9" t="str">
        <x:v>Windows 10, Core i7-6700K, 12 GB RAM, GTX 780 3 GB</x:v>
      </x:c>
      <x:c r="X933" s="9" t="str">
        <x:v>Low–Med</x:v>
      </x:c>
      <x:c r="Y933" s="9" t="str">
        <x:v>Licensed film score cues (verify)</x:v>
      </x:c>
      <x:c r="Z933" s="9" t="str">
        <x:v>8–10 hr (verify)</x:v>
      </x:c>
      <x:c r="AA933" s="9" t="str">
        <x:v>Casper Van Dien back as Rico in live-action briefings for a boomer shooter: the film's FedNet newsreels, playable.</x:v>
      </x:c>
      <x:c r="AB933" s="9" t="str">
        <x:v>None known</x:v>
      </x:c>
      <x:c r="AC933" s="9" t="str">
        <x:v>Live-action FMV briefings and FedNet-style segments between levels</x:v>
      </x:c>
      <x:c r="AD933" s="9" t="str">
        <x:v>Moderate</x:v>
      </x:c>
      <x:c r="AE933" s="9" t="str">
        <x:v>One</x:v>
      </x:c>
      <x:c r="AF933" s="9" t="str">
        <x:v>Metacritic 73 (PC), 78 (Xbox Series). Would you like to know more?</x:v>
      </x:c>
      <x:c r="AG933" s="9" t="str">
        <x:v>Bundles with Boltgun and ULTRAKILL</x:v>
      </x:c>
      <x:c r="AH933" s="9" t="str">
        <x:v>Yes (Steam, PS5, Xbox Series, Switch 2)</x:v>
      </x:c>
      <x:c r="AI933" s="9" t="str">
        <x:v>Easy</x:v>
      </x:c>
      <x:c r="AJ933" s="9" t="str">
        <x:v>Steam, PS5, Xbox Series, Switch 2</x:v>
      </x:c>
      <x:c r="AK933" s="9" t="str">
        <x:v>Steam 16 Mar 2026, $24.99; Very Positive 92% of 1,319 (Oct 2026). Cutscenes-only title kept for the licensed cast.</x:v>
      </x:c>
      <x:c r="AL933" s="10"/>
      <x:c r="AM933" s="10"/>
      <x:c r="AN933" s="10"/>
      <x:c r="AO933" s="9"/>
      <x:c r="AP933" s="11" t="str">
        <x:f>HYPERLINK("https://www.pricecharting.com/search-products?q=Starship+Troopers%3A+Ultimate+Bug+War%21+pc+games&amp;type=prices","PriceCharting")</x:f>
        <x:v>PriceCharting</x:v>
      </x:c>
      <x:c r="AQ933" s="9" t="n">
        <x:v>24.99</x:v>
      </x:c>
      <x:c r="AR933" s="11" t="str">
        <x:v>Steam</x:v>
      </x:c>
      <x:c r="AS933" s="9" t="str">
        <x:f>HYPERLINK("https://store.steampowered.com/app/2321780/","Store")</x:f>
        <x:v>Store</x:v>
      </x:c>
      <x:c r="AT933" s="9" t="str">
        <x:v>2026-10-25</x:v>
      </x:c>
      <x:c r="AU933" s="9"/>
      <x:c r="AV933" s="9"/>
      <x:c r="AW933" s="9"/>
      <x:c r="AX933" s="9"/>
      <x:c r="AY933" s="9"/>
      <x:c r="AZ933" s="9"/>
      <x:c r="BA933" s="11" t="str">
        <x:f>HYPERLINK("https://www.mobygames.com/search/?q=Starship+Troopers%3A+Ultimate+Bug+War%21","MobyGames")</x:f>
        <x:v>MobyGames</x:v>
      </x:c>
      <x:c r="BB933" s="9" t="str">
        <x:v>73%</x:v>
      </x:c>
      <x:c r="BC933" s="9" t="str">
        <x:v>Metacritic (PC)</x:v>
      </x:c>
      <x:c r="BD933" s="9" t="str">
        <x:f>HYPERLINK("https://www.metacritic.com/game/starship-troopers-ultimate-bug-war/","Source")</x:f>
        <x:v>Source</x:v>
      </x:c>
      <x:c r="BE933" s="11" t="str">
        <x:f>HYPERLINK("https://en.wikipedia.org/wiki/Starship_Troopers:_Ultimate_Bug_War!","Wikipedia")</x:f>
        <x:v>Wikipedia</x:v>
      </x:c>
      <x:c r="BF933" s="11" t="str">
        <x:f>HYPERLINK("https://backloggd.com/search/games/Starship%20Troopers%3A%20Ultimate%20Bug%20War%21/","Backloggd")</x:f>
        <x:v>Backloggd</x:v>
      </x:c>
      <x:c r="BG933" s="9"/>
      <x:c r="BH933" s="9"/>
      <x:c r="BI933" s="12" t="str">
        <x:v>No</x:v>
      </x:c>
      <x:c r="BJ933" s="12" t="str"/>
      <x:c r="BK933" s="12" t="str">
        <x:v>No</x:v>
      </x:c>
      <x:c r="BL933" s="12" t="str"/>
      <x:c r="BM933" s="12" t="str"/>
      <x:c r="BN933" s="12" t="str"/>
      <x:c r="BO933" s="12" t="str"/>
      <x:c r="BP933" s="12" t="str"/>
      <x:c r="BQ933" s="12" t="str"/>
    </x:row>
    <x:row r="934">
      <x:c r="A934" s="9" t="str">
        <x:v>pc-253</x:v>
      </x:c>
      <x:c r="B934" s="9" t="str">
        <x:v>mandate-of-heaven</x:v>
      </x:c>
      <x:c r="C934" s="9" t="str">
        <x:v>PC</x:v>
      </x:c>
      <x:c r="D934" s="9" t="str">
        <x:v>Mandate of Heaven</x:v>
      </x:c>
      <x:c r="E934" s="9" t="str">
        <x:v>Mandate Of Heaven</x:v>
      </x:c>
      <x:c r="F934" s="9" t="str">
        <x:v>Muyan Studio (木焱工作室)</x:v>
      </x:c>
      <x:c r="G934" s="9" t="str">
        <x:v>Muyan Studio</x:v>
      </x:c>
      <x:c r="H934" s="9" t="n">
        <x:v>2025</x:v>
      </x:c>
      <x:c r="I934" s="9" t="str">
        <x:v>Yes</x:v>
      </x:c>
      <x:c r="J934" s="9" t="str">
        <x:v>Yes</x:v>
      </x:c>
      <x:c r="K934" s="9" t="str">
        <x:v>Yes</x:v>
      </x:c>
      <x:c r="L934" s="9" t="str">
        <x:v>No</x:v>
      </x:c>
      <x:c r="M934" s="9" t="str">
        <x:v>Live-action historical strategy drama</x:v>
      </x:c>
      <x:c r="N934" s="9" t="str">
        <x:v>Live-action</x:v>
      </x:c>
      <x:c r="O934" s="9" t="n">
        <x:v>8</x:v>
      </x:c>
      <x:c r="P934" s="9" t="str">
        <x:v>Interactive movie</x:v>
      </x:c>
      <x:c r="Q934" s="9" t="str">
        <x:v>Released</x:v>
      </x:c>
      <x:c r="R934" s="9" t="str">
        <x:v>Original production (China)</x:v>
      </x:c>
      <x:c r="S934" s="9" t="str">
        <x:v>macOS, Linux</x:v>
      </x:c>
      <x:c r="T934" s="9" t="str">
        <x:v>Chinese cast (names verify)</x:v>
      </x:c>
      <x:c r="U934" s="9" t="n">
        <x:v>0</x:v>
      </x:c>
      <x:c r="V934" s="9" t="str">
        <x:v>Yes</x:v>
      </x:c>
      <x:c r="W934" s="9" t="str">
        <x:v>Windows 10 (spec verify); also macOS, Linux</x:v>
      </x:c>
      <x:c r="X934" s="9" t="str">
        <x:v>Low</x:v>
      </x:c>
      <x:c r="Y934" s="9" t="str"/>
      <x:c r="Z934" s="9" t="str">
        <x:v>10+ hr (verify)</x:v>
      </x:c>
      <x:c r="AA934" s="9" t="str">
        <x:v>You are the second prince of a southern court facing invasion: a live-action dynasty drama with strategy and puzzle layers, 6,600+ reviews.</x:v>
      </x:c>
      <x:c r="AB934" s="9" t="str">
        <x:v>None known</x:v>
      </x:c>
      <x:c r="AC934" s="9" t="str">
        <x:v>Live action driving a court-strategy game, Chinese audio with English subtitles</x:v>
      </x:c>
      <x:c r="AD934" s="9" t="str">
        <x:v>Moderate; strategy layer</x:v>
      </x:c>
      <x:c r="AE934" s="9" t="str">
        <x:v>Multiple (verify)</x:v>
      </x:c>
      <x:c r="AF934" s="9" t="str">
        <x:v>From the Vanity Fair: The Pursuit studio; the earlier PC sweep left it out as 'tagged FMV but not an FMV game', which fmvgo's live-action check contradicts.</x:v>
      </x:c>
      <x:c r="AG934" s="9" t="str">
        <x:v>Digital only</x:v>
      </x:c>
      <x:c r="AH934" s="9" t="str">
        <x:v>Yes (Steam)</x:v>
      </x:c>
      <x:c r="AI934" s="9" t="str">
        <x:v>Easy</x:v>
      </x:c>
      <x:c r="AJ934" s="9" t="str">
        <x:v>Steam (Windows/Mac/Linux)</x:v>
      </x:c>
      <x:c r="AK934" s="9" t="str">
        <x:v>Steam 19 Nov 2025, $14.99; Very Positive 91% of 6,669 (fmvgo, Sep 2026).</x:v>
      </x:c>
      <x:c r="AL934" s="10"/>
      <x:c r="AM934" s="10"/>
      <x:c r="AN934" s="10"/>
      <x:c r="AO934" s="9"/>
      <x:c r="AP934" s="11" t="str">
        <x:f>HYPERLINK("https://www.pricecharting.com/search-products?q=Mandate+of+Heaven+pc+games&amp;type=prices","PriceCharting")</x:f>
        <x:v>PriceCharting</x:v>
      </x:c>
      <x:c r="AQ934" s="9" t="n">
        <x:v>14.99</x:v>
      </x:c>
      <x:c r="AR934" s="11" t="str">
        <x:v>Steam</x:v>
      </x:c>
      <x:c r="AS934" s="9" t="str">
        <x:f>HYPERLINK("https://store.steampowered.com/app/3831120/","Store")</x:f>
        <x:v>Store</x:v>
      </x:c>
      <x:c r="AT934" s="9" t="str">
        <x:v>2026-10-25</x:v>
      </x:c>
      <x:c r="AU934" s="9"/>
      <x:c r="AV934" s="9"/>
      <x:c r="AW934" s="9"/>
      <x:c r="AX934" s="9"/>
      <x:c r="AY934" s="9"/>
      <x:c r="AZ934" s="9"/>
      <x:c r="BA934" s="11" t="str">
        <x:f>HYPERLINK("https://www.mobygames.com/search/?q=Mandate+of+Heaven","MobyGames")</x:f>
        <x:v>MobyGames</x:v>
      </x:c>
      <x:c r="BB934" s="9" t="str"/>
      <x:c r="BC934" s="9" t="str"/>
      <x:c r="BD934" s="9"/>
      <x:c r="BE934" s="9"/>
      <x:c r="BF934" s="11" t="str">
        <x:f>HYPERLINK("https://backloggd.com/search/games/Mandate%20of%20Heaven/","Backloggd")</x:f>
        <x:v>Backloggd</x:v>
      </x:c>
      <x:c r="BG934" s="9"/>
      <x:c r="BH934" s="9"/>
      <x:c r="BI934" s="12" t="str">
        <x:v>No</x:v>
      </x:c>
      <x:c r="BJ934" s="12" t="str"/>
      <x:c r="BK934" s="12" t="str">
        <x:v>No</x:v>
      </x:c>
      <x:c r="BL934" s="12" t="str"/>
      <x:c r="BM934" s="12" t="str"/>
      <x:c r="BN934" s="12" t="str"/>
      <x:c r="BO934" s="12" t="str"/>
      <x:c r="BP934" s="12" t="str"/>
      <x:c r="BQ934" s="12" t="str"/>
    </x:row>
    <x:row r="935">
      <x:c r="A935" s="9" t="str">
        <x:v>pc-254</x:v>
      </x:c>
      <x:c r="B935" s="9" t="str">
        <x:v>conquer-the-world</x:v>
      </x:c>
      <x:c r="C935" s="9" t="str">
        <x:v>PC</x:v>
      </x:c>
      <x:c r="D935" s="9" t="str">
        <x:v>Conquer the World</x:v>
      </x:c>
      <x:c r="E935" s="9" t="str">
        <x:v>Conquer the world</x:v>
      </x:c>
      <x:c r="F935" s="9" t="str">
        <x:v>Interactive Star (互动之星)</x:v>
      </x:c>
      <x:c r="G935" s="9" t="str">
        <x:v>Interactive Star</x:v>
      </x:c>
      <x:c r="H935" s="9" t="n">
        <x:v>2025</x:v>
      </x:c>
      <x:c r="I935" s="9" t="str">
        <x:v>Yes</x:v>
      </x:c>
      <x:c r="J935" s="9" t="str">
        <x:v>Yes</x:v>
      </x:c>
      <x:c r="K935" s="9" t="str">
        <x:v>Yes</x:v>
      </x:c>
      <x:c r="L935" s="9" t="str">
        <x:v>No</x:v>
      </x:c>
      <x:c r="M935" s="9" t="str">
        <x:v>First-person live-action war drama</x:v>
      </x:c>
      <x:c r="N935" s="9" t="str">
        <x:v>Live-action</x:v>
      </x:c>
      <x:c r="O935" s="9" t="n">
        <x:v>10</x:v>
      </x:c>
      <x:c r="P935" s="9" t="str">
        <x:v>Interactive movie</x:v>
      </x:c>
      <x:c r="Q935" s="9" t="str">
        <x:v>Released</x:v>
      </x:c>
      <x:c r="R935" s="9" t="str">
        <x:v>Original production (China)</x:v>
      </x:c>
      <x:c r="S935" s="9" t="str"/>
      <x:c r="T935" s="9" t="str">
        <x:v>Chinese cast (names verify)</x:v>
      </x:c>
      <x:c r="U935" s="9" t="n">
        <x:v>0</x:v>
      </x:c>
      <x:c r="V935" s="9" t="str">
        <x:v>Yes</x:v>
      </x:c>
      <x:c r="W935" s="9" t="str">
        <x:v>Windows 10 (spec verify)</x:v>
      </x:c>
      <x:c r="X935" s="9" t="str">
        <x:v>Low</x:v>
      </x:c>
      <x:c r="Y935" s="9" t="str"/>
      <x:c r="Z935" s="9" t="str">
        <x:v>6–8 hr (verify)</x:v>
      </x:c>
      <x:c r="AA935" s="9" t="str">
        <x:v>A first-person live-action war epic with very long branching endings, from the Shao Song I studio.</x:v>
      </x:c>
      <x:c r="AB935" s="9" t="str">
        <x:v>None known</x:v>
      </x:c>
      <x:c r="AC935" s="9" t="str">
        <x:v>First-person live action, Chinese audio with English subtitles</x:v>
      </x:c>
      <x:c r="AD935" s="9" t="str">
        <x:v>Moderate</x:v>
      </x:c>
      <x:c r="AE935" s="9" t="str">
        <x:v>Multiple, long</x:v>
      </x:c>
      <x:c r="AF935" s="9" t="str">
        <x:v>Mature content advisory on Steam for war violence.</x:v>
      </x:c>
      <x:c r="AG935" s="9" t="str">
        <x:v>Digital only</x:v>
      </x:c>
      <x:c r="AH935" s="9" t="str">
        <x:v>Yes (Steam)</x:v>
      </x:c>
      <x:c r="AI935" s="9" t="str">
        <x:v>Easy</x:v>
      </x:c>
      <x:c r="AJ935" s="9" t="str">
        <x:v>Steam</x:v>
      </x:c>
      <x:c r="AK935" s="9" t="str">
        <x:v>Steam 16 Jul 2025, $12.99; Very Positive 92% of 2,376 (fmvgo, Sep 2026).</x:v>
      </x:c>
      <x:c r="AL935" s="10"/>
      <x:c r="AM935" s="10"/>
      <x:c r="AN935" s="10"/>
      <x:c r="AO935" s="9"/>
      <x:c r="AP935" s="11" t="str">
        <x:f>HYPERLINK("https://www.pricecharting.com/search-products?q=Conquer+the+World+pc+games&amp;type=prices","PriceCharting")</x:f>
        <x:v>PriceCharting</x:v>
      </x:c>
      <x:c r="AQ935" s="9" t="n">
        <x:v>12.99</x:v>
      </x:c>
      <x:c r="AR935" s="11" t="str">
        <x:v>Steam</x:v>
      </x:c>
      <x:c r="AS935" s="9" t="str">
        <x:f>HYPERLINK("https://store.steampowered.com/app/3543040/","Store")</x:f>
        <x:v>Store</x:v>
      </x:c>
      <x:c r="AT935" s="9" t="str">
        <x:v>2026-10-25</x:v>
      </x:c>
      <x:c r="AU935" s="9"/>
      <x:c r="AV935" s="9"/>
      <x:c r="AW935" s="9"/>
      <x:c r="AX935" s="9"/>
      <x:c r="AY935" s="9"/>
      <x:c r="AZ935" s="9"/>
      <x:c r="BA935" s="11" t="str">
        <x:f>HYPERLINK("https://www.mobygames.com/search/?q=Conquer+the+World","MobyGames")</x:f>
        <x:v>MobyGames</x:v>
      </x:c>
      <x:c r="BB935" s="9" t="str"/>
      <x:c r="BC935" s="9" t="str"/>
      <x:c r="BD935" s="9"/>
      <x:c r="BE935" s="9"/>
      <x:c r="BF935" s="11" t="str">
        <x:f>HYPERLINK("https://backloggd.com/search/games/Conquer%20the%20World/","Backloggd")</x:f>
        <x:v>Backloggd</x:v>
      </x:c>
      <x:c r="BG935" s="9"/>
      <x:c r="BH935" s="9"/>
      <x:c r="BI935" s="12" t="str">
        <x:v>No</x:v>
      </x:c>
      <x:c r="BJ935" s="12" t="str"/>
      <x:c r="BK935" s="12" t="str">
        <x:v>No</x:v>
      </x:c>
      <x:c r="BL935" s="12" t="str"/>
      <x:c r="BM935" s="12" t="str"/>
      <x:c r="BN935" s="12" t="str"/>
      <x:c r="BO935" s="12" t="str"/>
      <x:c r="BP935" s="12" t="str"/>
      <x:c r="BQ935" s="12" t="str"/>
    </x:row>
    <x:row r="936">
      <x:c r="A936" s="9" t="str">
        <x:v>pc-255</x:v>
      </x:c>
      <x:c r="B936" s="9" t="str">
        <x:v>flam-evaw</x:v>
      </x:c>
      <x:c r="C936" s="9" t="str">
        <x:v>PC</x:v>
      </x:c>
      <x:c r="D936" s="9" t="str">
        <x:v>FLAM EVAW</x:v>
      </x:c>
      <x:c r="E936" s="9" t="str"/>
      <x:c r="F936" s="9" t="str">
        <x:v>Beijing Wanhe Ruisheng Culture Media</x:v>
      </x:c>
      <x:c r="G936" s="9" t="str">
        <x:v>Beijing Wanhe Ruisheng Culture Media; Xirui Interactive</x:v>
      </x:c>
      <x:c r="H936" s="9" t="n">
        <x:v>2025</x:v>
      </x:c>
      <x:c r="I936" s="9" t="str">
        <x:v>Yes</x:v>
      </x:c>
      <x:c r="J936" s="9" t="str">
        <x:v>Yes</x:v>
      </x:c>
      <x:c r="K936" s="9" t="str">
        <x:v>Yes</x:v>
      </x:c>
      <x:c r="L936" s="9" t="str">
        <x:v>No</x:v>
      </x:c>
      <x:c r="M936" s="9" t="str">
        <x:v>First-person FMV detective</x:v>
      </x:c>
      <x:c r="N936" s="9" t="str">
        <x:v>Live-action</x:v>
      </x:c>
      <x:c r="O936" s="9" t="n">
        <x:v>10</x:v>
      </x:c>
      <x:c r="P936" s="9" t="str">
        <x:v>Interactive movie</x:v>
      </x:c>
      <x:c r="Q936" s="9" t="str">
        <x:v>Released</x:v>
      </x:c>
      <x:c r="R936" s="9" t="str">
        <x:v>Original production (China)</x:v>
      </x:c>
      <x:c r="S936" s="9" t="str"/>
      <x:c r="T936" s="9" t="str">
        <x:v>Chinese cast (names verify); player character Maple Kurosawa</x:v>
      </x:c>
      <x:c r="U936" s="9" t="n">
        <x:v>0</x:v>
      </x:c>
      <x:c r="V936" s="9" t="str">
        <x:v>Yes</x:v>
      </x:c>
      <x:c r="W936" s="9" t="str">
        <x:v>Windows 10 (spec verify)</x:v>
      </x:c>
      <x:c r="X936" s="9" t="str">
        <x:v>Low</x:v>
      </x:c>
      <x:c r="Y936" s="9" t="str"/>
      <x:c r="Z936" s="9" t="str">
        <x:v>5–6 hr (verify)</x:v>
      </x:c>
      <x:c r="AA936" s="9" t="str">
        <x:v>A community detective with hacking skills against a crime ring, told first-person on film.</x:v>
      </x:c>
      <x:c r="AB936" s="9" t="str">
        <x:v>None known</x:v>
      </x:c>
      <x:c r="AC936" s="9" t="str">
        <x:v>First-person live action, Chinese audio with English subtitles</x:v>
      </x:c>
      <x:c r="AD936" s="9" t="str">
        <x:v>Moderate</x:v>
      </x:c>
      <x:c r="AE936" s="9" t="str">
        <x:v>Multiple</x:v>
      </x:c>
      <x:c r="AF936" s="9" t="str">
        <x:v>Mature content advisory on Steam.</x:v>
      </x:c>
      <x:c r="AG936" s="9" t="str">
        <x:v>Digital only</x:v>
      </x:c>
      <x:c r="AH936" s="9" t="str">
        <x:v>Yes (Steam)</x:v>
      </x:c>
      <x:c r="AI936" s="9" t="str">
        <x:v>Easy</x:v>
      </x:c>
      <x:c r="AJ936" s="9" t="str">
        <x:v>Steam</x:v>
      </x:c>
      <x:c r="AK936" s="9" t="str">
        <x:v>Steam 17 Oct 2025, $9.99; Very Positive 95% of 1,426 (fmvgo, Sep 2026).</x:v>
      </x:c>
      <x:c r="AL936" s="10"/>
      <x:c r="AM936" s="10"/>
      <x:c r="AN936" s="10"/>
      <x:c r="AO936" s="9"/>
      <x:c r="AP936" s="11" t="str">
        <x:f>HYPERLINK("https://www.pricecharting.com/search-products?q=FLAM+EVAW+pc+games&amp;type=prices","PriceCharting")</x:f>
        <x:v>PriceCharting</x:v>
      </x:c>
      <x:c r="AQ936" s="9" t="n">
        <x:v>9.99</x:v>
      </x:c>
      <x:c r="AR936" s="11" t="str">
        <x:v>Steam</x:v>
      </x:c>
      <x:c r="AS936" s="9" t="str">
        <x:f>HYPERLINK("https://store.steampowered.com/app/3864530/","Store")</x:f>
        <x:v>Store</x:v>
      </x:c>
      <x:c r="AT936" s="9" t="str">
        <x:v>2026-10-25</x:v>
      </x:c>
      <x:c r="AU936" s="9"/>
      <x:c r="AV936" s="9"/>
      <x:c r="AW936" s="9"/>
      <x:c r="AX936" s="9"/>
      <x:c r="AY936" s="9"/>
      <x:c r="AZ936" s="9"/>
      <x:c r="BA936" s="11" t="str">
        <x:f>HYPERLINK("https://www.mobygames.com/search/?q=FLAM+EVAW","MobyGames")</x:f>
        <x:v>MobyGames</x:v>
      </x:c>
      <x:c r="BB936" s="9" t="str"/>
      <x:c r="BC936" s="9" t="str"/>
      <x:c r="BD936" s="9"/>
      <x:c r="BE936" s="9"/>
      <x:c r="BF936" s="11" t="str">
        <x:f>HYPERLINK("https://backloggd.com/search/games/FLAM%20EVAW/","Backloggd")</x:f>
        <x:v>Backloggd</x:v>
      </x:c>
      <x:c r="BG936" s="9"/>
      <x:c r="BH936" s="9"/>
      <x:c r="BI936" s="12" t="str">
        <x:v>No</x:v>
      </x:c>
      <x:c r="BJ936" s="12" t="str"/>
      <x:c r="BK936" s="12" t="str">
        <x:v>No</x:v>
      </x:c>
      <x:c r="BL936" s="12" t="str"/>
      <x:c r="BM936" s="12" t="str"/>
      <x:c r="BN936" s="12" t="str"/>
      <x:c r="BO936" s="12" t="str"/>
      <x:c r="BP936" s="12" t="str"/>
      <x:c r="BQ936" s="12" t="str"/>
    </x:row>
    <x:row r="937">
      <x:c r="A937" s="9" t="str">
        <x:v>pc-256</x:v>
      </x:c>
      <x:c r="B937" s="9" t="str">
        <x:v>misty-judgment</x:v>
      </x:c>
      <x:c r="C937" s="9" t="str">
        <x:v>PC</x:v>
      </x:c>
      <x:c r="D937" s="9" t="str">
        <x:v>Misty Judgment</x:v>
      </x:c>
      <x:c r="E937" s="9" t="str"/>
      <x:c r="F937" s="9" t="str">
        <x:v>Dimension Boundary (次元边界)</x:v>
      </x:c>
      <x:c r="G937" s="9" t="str">
        <x:v>Dimension Boundary</x:v>
      </x:c>
      <x:c r="H937" s="9" t="n">
        <x:v>2025</x:v>
      </x:c>
      <x:c r="I937" s="9" t="str">
        <x:v>Yes</x:v>
      </x:c>
      <x:c r="J937" s="9" t="str">
        <x:v>Yes</x:v>
      </x:c>
      <x:c r="K937" s="9" t="str">
        <x:v>Yes</x:v>
      </x:c>
      <x:c r="L937" s="9" t="str">
        <x:v>No</x:v>
      </x:c>
      <x:c r="M937" s="9" t="str">
        <x:v>Live-action detective mystery</x:v>
      </x:c>
      <x:c r="N937" s="9" t="str">
        <x:v>Live-action</x:v>
      </x:c>
      <x:c r="O937" s="9" t="n">
        <x:v>10</x:v>
      </x:c>
      <x:c r="P937" s="9" t="str">
        <x:v>Interactive movie</x:v>
      </x:c>
      <x:c r="Q937" s="9" t="str">
        <x:v>Released</x:v>
      </x:c>
      <x:c r="R937" s="9" t="str">
        <x:v>Original production (China)</x:v>
      </x:c>
      <x:c r="S937" s="9" t="str"/>
      <x:c r="T937" s="9" t="str">
        <x:v>Chinese cast (names verify); player character Qi Yi</x:v>
      </x:c>
      <x:c r="U937" s="9" t="n">
        <x:v>0</x:v>
      </x:c>
      <x:c r="V937" s="9" t="str">
        <x:v>Yes</x:v>
      </x:c>
      <x:c r="W937" s="9" t="str">
        <x:v>Windows 10 (spec verify)</x:v>
      </x:c>
      <x:c r="X937" s="9" t="str">
        <x:v>Low</x:v>
      </x:c>
      <x:c r="Y937" s="9" t="str"/>
      <x:c r="Z937" s="9" t="str">
        <x:v>5–6 hr (verify)</x:v>
      </x:c>
      <x:c r="AA937" s="9" t="str">
        <x:v>A live-action whodunit across a chain of murders: gather evidence, name the killer.</x:v>
      </x:c>
      <x:c r="AB937" s="9" t="str">
        <x:v>None known</x:v>
      </x:c>
      <x:c r="AC937" s="9" t="str">
        <x:v>Live action with evidence-gathering and deduction, Chinese audio with English subtitles</x:v>
      </x:c>
      <x:c r="AD937" s="9" t="str">
        <x:v>Moderate; deduction</x:v>
      </x:c>
      <x:c r="AE937" s="9" t="str">
        <x:v>Multiple</x:v>
      </x:c>
      <x:c r="AF937" s="9" t="str">
        <x:v>From the studio behind Rebirth! New Lover and SIFU Kidnapped!.</x:v>
      </x:c>
      <x:c r="AG937" s="9" t="str">
        <x:v>Digital only</x:v>
      </x:c>
      <x:c r="AH937" s="9" t="str">
        <x:v>Yes (Steam)</x:v>
      </x:c>
      <x:c r="AI937" s="9" t="str">
        <x:v>Easy</x:v>
      </x:c>
      <x:c r="AJ937" s="9" t="str">
        <x:v>Steam</x:v>
      </x:c>
      <x:c r="AK937" s="9" t="str">
        <x:v>Steam 12 Sep 2025, $8.99; Very Positive 93% of 1,404 (fmvgo, Sep 2026).</x:v>
      </x:c>
      <x:c r="AL937" s="10"/>
      <x:c r="AM937" s="10"/>
      <x:c r="AN937" s="10"/>
      <x:c r="AO937" s="9"/>
      <x:c r="AP937" s="11" t="str">
        <x:f>HYPERLINK("https://www.pricecharting.com/search-products?q=Misty+Judgment+pc+games&amp;type=prices","PriceCharting")</x:f>
        <x:v>PriceCharting</x:v>
      </x:c>
      <x:c r="AQ937" s="9" t="n">
        <x:v>8.99</x:v>
      </x:c>
      <x:c r="AR937" s="11" t="str">
        <x:v>Steam</x:v>
      </x:c>
      <x:c r="AS937" s="9" t="str">
        <x:f>HYPERLINK("https://store.steampowered.com/app/3364770/","Store")</x:f>
        <x:v>Store</x:v>
      </x:c>
      <x:c r="AT937" s="9" t="str">
        <x:v>2026-10-25</x:v>
      </x:c>
      <x:c r="AU937" s="9"/>
      <x:c r="AV937" s="9"/>
      <x:c r="AW937" s="9"/>
      <x:c r="AX937" s="9"/>
      <x:c r="AY937" s="9"/>
      <x:c r="AZ937" s="9"/>
      <x:c r="BA937" s="11" t="str">
        <x:f>HYPERLINK("https://www.mobygames.com/search/?q=Misty+Judgment","MobyGames")</x:f>
        <x:v>MobyGames</x:v>
      </x:c>
      <x:c r="BB937" s="9" t="str"/>
      <x:c r="BC937" s="9" t="str"/>
      <x:c r="BD937" s="9"/>
      <x:c r="BE937" s="9"/>
      <x:c r="BF937" s="11" t="str">
        <x:f>HYPERLINK("https://backloggd.com/search/games/Misty%20Judgment/","Backloggd")</x:f>
        <x:v>Backloggd</x:v>
      </x:c>
      <x:c r="BG937" s="9"/>
      <x:c r="BH937" s="9"/>
      <x:c r="BI937" s="12" t="str">
        <x:v>No</x:v>
      </x:c>
      <x:c r="BJ937" s="12" t="str"/>
      <x:c r="BK937" s="12" t="str">
        <x:v>No</x:v>
      </x:c>
      <x:c r="BL937" s="12" t="str"/>
      <x:c r="BM937" s="12" t="str"/>
      <x:c r="BN937" s="12" t="str"/>
      <x:c r="BO937" s="12" t="str"/>
      <x:c r="BP937" s="12" t="str"/>
      <x:c r="BQ937" s="12" t="str"/>
    </x:row>
    <x:row r="938">
      <x:c r="A938" s="9" t="str">
        <x:v>pc-257</x:v>
      </x:c>
      <x:c r="B938" s="9" t="str">
        <x:v>love-begins-with-goodbye</x:v>
      </x:c>
      <x:c r="C938" s="9" t="str">
        <x:v>PC</x:v>
      </x:c>
      <x:c r="D938" s="9" t="str">
        <x:v>Love Begins With Goodbye</x:v>
      </x:c>
      <x:c r="E938" s="9" t="str"/>
      <x:c r="F938" s="9" t="str">
        <x:v>Dawang Studio (大王工作室); Kuangda Network</x:v>
      </x:c>
      <x:c r="G938" s="9" t="str">
        <x:v>Dawang Studio; Kuangda Network</x:v>
      </x:c>
      <x:c r="H938" s="9" t="n">
        <x:v>2025</x:v>
      </x:c>
      <x:c r="I938" s="9" t="str">
        <x:v>Yes</x:v>
      </x:c>
      <x:c r="J938" s="9" t="str">
        <x:v>Yes</x:v>
      </x:c>
      <x:c r="K938" s="9" t="str">
        <x:v>Yes</x:v>
      </x:c>
      <x:c r="L938" s="9" t="str">
        <x:v>No</x:v>
      </x:c>
      <x:c r="M938" s="9" t="str">
        <x:v>Live-action romance</x:v>
      </x:c>
      <x:c r="N938" s="9" t="str">
        <x:v>Live-action</x:v>
      </x:c>
      <x:c r="O938" s="9" t="n">
        <x:v>10</x:v>
      </x:c>
      <x:c r="P938" s="9" t="str">
        <x:v>Interactive movie</x:v>
      </x:c>
      <x:c r="Q938" s="9" t="str">
        <x:v>Released</x:v>
      </x:c>
      <x:c r="R938" s="9" t="str">
        <x:v>Original production (China/Norway)</x:v>
      </x:c>
      <x:c r="S938" s="9" t="str"/>
      <x:c r="T938" s="9" t="str">
        <x:v>Cast (names verify); characters Luo Xue'er, Laya, Inora</x:v>
      </x:c>
      <x:c r="U938" s="9" t="n">
        <x:v>0</x:v>
      </x:c>
      <x:c r="V938" s="9" t="str">
        <x:v>Yes</x:v>
      </x:c>
      <x:c r="W938" s="9" t="str">
        <x:v>Windows 10 (spec verify)</x:v>
      </x:c>
      <x:c r="X938" s="9" t="str">
        <x:v>Low</x:v>
      </x:c>
      <x:c r="Y938" s="9" t="str"/>
      <x:c r="Z938" s="9" t="str">
        <x:v>6–8 hr (verify)</x:v>
      </x:c>
      <x:c r="AA938" s="9" t="str">
        <x:v>Six months in a shared house in Norway, starting from a farewell: a romance FMV shot abroad with no adult tags.</x:v>
      </x:c>
      <x:c r="AB938" s="9" t="str">
        <x:v>None known</x:v>
      </x:c>
      <x:c r="AC938" s="9" t="str">
        <x:v>Live action with branching choices, Chinese audio with English subtitles</x:v>
      </x:c>
      <x:c r="AD938" s="9" t="str">
        <x:v>Easy</x:v>
      </x:c>
      <x:c r="AE938" s="9" t="str">
        <x:v>Multiple</x:v>
      </x:c>
      <x:c r="AF938" s="9" t="str">
        <x:v>No content advisory on Steam, unusual for the genre.</x:v>
      </x:c>
      <x:c r="AG938" s="9" t="str">
        <x:v>Digital only</x:v>
      </x:c>
      <x:c r="AH938" s="9" t="str">
        <x:v>Yes (Steam)</x:v>
      </x:c>
      <x:c r="AI938" s="9" t="str">
        <x:v>Easy</x:v>
      </x:c>
      <x:c r="AJ938" s="9" t="str">
        <x:v>Steam</x:v>
      </x:c>
      <x:c r="AK938" s="9" t="str">
        <x:v>Steam 26 Aug 2025, $15.99; Very Positive 95% of 1,068 (fmvgo, Sep 2026).</x:v>
      </x:c>
      <x:c r="AL938" s="10"/>
      <x:c r="AM938" s="10"/>
      <x:c r="AN938" s="10"/>
      <x:c r="AO938" s="9"/>
      <x:c r="AP938" s="11" t="str">
        <x:f>HYPERLINK("https://www.pricecharting.com/search-products?q=Love+Begins+With+Goodbye+pc+games&amp;type=prices","PriceCharting")</x:f>
        <x:v>PriceCharting</x:v>
      </x:c>
      <x:c r="AQ938" s="9" t="n">
        <x:v>15.99</x:v>
      </x:c>
      <x:c r="AR938" s="11" t="str">
        <x:v>Steam</x:v>
      </x:c>
      <x:c r="AS938" s="9" t="str">
        <x:f>HYPERLINK("https://store.steampowered.com/app/3652650/","Store")</x:f>
        <x:v>Store</x:v>
      </x:c>
      <x:c r="AT938" s="9" t="str">
        <x:v>2026-10-25</x:v>
      </x:c>
      <x:c r="AU938" s="9"/>
      <x:c r="AV938" s="9"/>
      <x:c r="AW938" s="9"/>
      <x:c r="AX938" s="9"/>
      <x:c r="AY938" s="9"/>
      <x:c r="AZ938" s="9"/>
      <x:c r="BA938" s="11" t="str">
        <x:f>HYPERLINK("https://www.mobygames.com/search/?q=Love+Begins+With+Goodbye","MobyGames")</x:f>
        <x:v>MobyGames</x:v>
      </x:c>
      <x:c r="BB938" s="9" t="str"/>
      <x:c r="BC938" s="9" t="str"/>
      <x:c r="BD938" s="9"/>
      <x:c r="BE938" s="9"/>
      <x:c r="BF938" s="11" t="str">
        <x:f>HYPERLINK("https://backloggd.com/search/games/Love%20Begins%20With%20Goodbye/","Backloggd")</x:f>
        <x:v>Backloggd</x:v>
      </x:c>
      <x:c r="BG938" s="9"/>
      <x:c r="BH938" s="9"/>
      <x:c r="BI938" s="12" t="str">
        <x:v>No</x:v>
      </x:c>
      <x:c r="BJ938" s="12" t="str"/>
      <x:c r="BK938" s="12" t="str">
        <x:v>No</x:v>
      </x:c>
      <x:c r="BL938" s="12" t="str"/>
      <x:c r="BM938" s="12" t="str"/>
      <x:c r="BN938" s="12" t="str"/>
      <x:c r="BO938" s="12" t="str"/>
      <x:c r="BP938" s="12" t="str"/>
      <x:c r="BQ938" s="12" t="str"/>
    </x:row>
    <x:row r="939">
      <x:c r="A939" s="9" t="str">
        <x:v>pc-258</x:v>
      </x:c>
      <x:c r="B939" s="9" t="str">
        <x:v>dead-reset</x:v>
      </x:c>
      <x:c r="C939" s="9" t="str">
        <x:v>PC</x:v>
      </x:c>
      <x:c r="D939" s="9" t="str">
        <x:v>Dead Reset</x:v>
      </x:c>
      <x:c r="E939" s="9" t="str"/>
      <x:c r="F939" s="9" t="str">
        <x:v>Dark Rift Horror; Wales Interactive</x:v>
      </x:c>
      <x:c r="G939" s="9" t="str">
        <x:v>Wales Interactive</x:v>
      </x:c>
      <x:c r="H939" s="9" t="n">
        <x:v>2025</x:v>
      </x:c>
      <x:c r="I939" s="9" t="str">
        <x:v>Yes</x:v>
      </x:c>
      <x:c r="J939" s="9" t="str">
        <x:v>Yes</x:v>
      </x:c>
      <x:c r="K939" s="9" t="str">
        <x:v>Yes</x:v>
      </x:c>
      <x:c r="L939" s="9" t="str">
        <x:v>No</x:v>
      </x:c>
      <x:c r="M939" s="9" t="str">
        <x:v>FMV horror time-loop</x:v>
      </x:c>
      <x:c r="N939" s="9" t="str">
        <x:v>Live-action</x:v>
      </x:c>
      <x:c r="O939" s="9" t="n">
        <x:v>10</x:v>
      </x:c>
      <x:c r="P939" s="9" t="str">
        <x:v>Interactive movie</x:v>
      </x:c>
      <x:c r="Q939" s="9" t="str">
        <x:v>Released</x:v>
      </x:c>
      <x:c r="R939" s="9" t="str">
        <x:v>Original production (UK)</x:v>
      </x:c>
      <x:c r="S939" s="9" t="str">
        <x:v>iOS; macOS; consoles (verify)</x:v>
      </x:c>
      <x:c r="T939" s="9" t="str">
        <x:v>Cast (names verify)</x:v>
      </x:c>
      <x:c r="U939" s="9" t="n">
        <x:v>0</x:v>
      </x:c>
      <x:c r="V939" s="9" t="str">
        <x:v>Yes</x:v>
      </x:c>
      <x:c r="W939" s="9" t="str">
        <x:v>Windows 10 (spec verify); also macOS</x:v>
      </x:c>
      <x:c r="X939" s="9" t="str">
        <x:v>Low</x:v>
      </x:c>
      <x:c r="Y939" s="9" t="str"/>
      <x:c r="Z939" s="9" t="str">
        <x:v>2–3 hr per run; multiple loops</x:v>
      </x:c>
      <x:c r="AA939" s="9" t="str">
        <x:v>Wales Interactive's 2025 FMV: a surgeon stuck in a death loop in an underwater lab, operating on something parasitic.</x:v>
      </x:c>
      <x:c r="AB939" s="9" t="str">
        <x:v>None known</x:v>
      </x:c>
      <x:c r="AC939" s="9" t="str">
        <x:v>Live action, branching, with a loop structure that reveals more on each death</x:v>
      </x:c>
      <x:c r="AD939" s="9" t="str">
        <x:v>Moderate</x:v>
      </x:c>
      <x:c r="AE939" s="9" t="str">
        <x:v>Multiple</x:v>
      </x:c>
      <x:c r="AF939" s="9" t="str">
        <x:v>Developed with Dark Rift Horror; Very Positive on Steam.</x:v>
      </x:c>
      <x:c r="AG939" s="9" t="str">
        <x:v>Digital; Wales Interactive bundles</x:v>
      </x:c>
      <x:c r="AH939" s="9" t="str">
        <x:v>Yes (Steam)</x:v>
      </x:c>
      <x:c r="AI939" s="9" t="str">
        <x:v>Easy</x:v>
      </x:c>
      <x:c r="AJ939" s="9" t="str">
        <x:v>Steam (Windows/Mac), iOS</x:v>
      </x:c>
      <x:c r="AK939" s="9" t="str">
        <x:v>Steam 11 Sep 2025, $14.99; Very Positive 88% of 798 (fmvgo, Sep 2026).</x:v>
      </x:c>
      <x:c r="AL939" s="10"/>
      <x:c r="AM939" s="10"/>
      <x:c r="AN939" s="10"/>
      <x:c r="AO939" s="9"/>
      <x:c r="AP939" s="11" t="str">
        <x:f>HYPERLINK("https://www.pricecharting.com/search-products?q=Dead+Reset+pc+games&amp;type=prices","PriceCharting")</x:f>
        <x:v>PriceCharting</x:v>
      </x:c>
      <x:c r="AQ939" s="9" t="n">
        <x:v>14.99</x:v>
      </x:c>
      <x:c r="AR939" s="11" t="str">
        <x:v>Steam</x:v>
      </x:c>
      <x:c r="AS939" s="9" t="str">
        <x:f>HYPERLINK("https://store.steampowered.com/app/1346840/","Store")</x:f>
        <x:v>Store</x:v>
      </x:c>
      <x:c r="AT939" s="9" t="str">
        <x:v>2026-10-25</x:v>
      </x:c>
      <x:c r="AU939" s="9"/>
      <x:c r="AV939" s="9"/>
      <x:c r="AW939" s="9"/>
      <x:c r="AX939" s="9"/>
      <x:c r="AY939" s="9"/>
      <x:c r="AZ939" s="9"/>
      <x:c r="BA939" s="11" t="str">
        <x:f>HYPERLINK("https://www.mobygames.com/search/?q=Dead+Reset","MobyGames")</x:f>
        <x:v>MobyGames</x:v>
      </x:c>
      <x:c r="BB939" s="9" t="str"/>
      <x:c r="BC939" s="9" t="str"/>
      <x:c r="BD939" s="9"/>
      <x:c r="BE939" s="9"/>
      <x:c r="BF939" s="11" t="str">
        <x:f>HYPERLINK("https://backloggd.com/search/games/Dead%20Reset/","Backloggd")</x:f>
        <x:v>Backloggd</x:v>
      </x:c>
      <x:c r="BG939" s="9"/>
      <x:c r="BH939" s="9"/>
      <x:c r="BI939" s="12" t="str">
        <x:v>No</x:v>
      </x:c>
      <x:c r="BJ939" s="12" t="str"/>
      <x:c r="BK939" s="12" t="str">
        <x:v>No</x:v>
      </x:c>
      <x:c r="BL939" s="12" t="str"/>
      <x:c r="BM939" s="12" t="str"/>
      <x:c r="BN939" s="12" t="str"/>
      <x:c r="BO939" s="12" t="str"/>
      <x:c r="BP939" s="12" t="str"/>
      <x:c r="BQ939" s="12" t="str"/>
    </x:row>
    <x:row r="940">
      <x:c r="A940" s="9" t="str">
        <x:v>pc-259</x:v>
      </x:c>
      <x:c r="B940" s="9" t="str">
        <x:v>vanity-fair-the-pursuit</x:v>
      </x:c>
      <x:c r="C940" s="9" t="str">
        <x:v>PC</x:v>
      </x:c>
      <x:c r="D940" s="9" t="str">
        <x:v>Vanity Fair: The Pursuit</x:v>
      </x:c>
      <x:c r="E940" s="9" t="str"/>
      <x:c r="F940" s="9" t="str">
        <x:v>Muyan Studio (木焱工作室)</x:v>
      </x:c>
      <x:c r="G940" s="9" t="str">
        <x:v>Wave Games; Muyan Studio; CC_Games</x:v>
      </x:c>
      <x:c r="H940" s="9" t="n">
        <x:v>2024</x:v>
      </x:c>
      <x:c r="I940" s="9" t="str">
        <x:v>Yes</x:v>
      </x:c>
      <x:c r="J940" s="9" t="str">
        <x:v>Yes</x:v>
      </x:c>
      <x:c r="K940" s="9" t="str">
        <x:v>Yes</x:v>
      </x:c>
      <x:c r="L940" s="9" t="str">
        <x:v>No</x:v>
      </x:c>
      <x:c r="M940" s="9" t="str">
        <x:v>Live-action life drama</x:v>
      </x:c>
      <x:c r="N940" s="9" t="str">
        <x:v>Live-action</x:v>
      </x:c>
      <x:c r="O940" s="9" t="n">
        <x:v>10</x:v>
      </x:c>
      <x:c r="P940" s="9" t="str">
        <x:v>Interactive movie</x:v>
      </x:c>
      <x:c r="Q940" s="9" t="str">
        <x:v>Released</x:v>
      </x:c>
      <x:c r="R940" s="9" t="str">
        <x:v>Original production (China)</x:v>
      </x:c>
      <x:c r="S940" s="9" t="str">
        <x:v>macOS</x:v>
      </x:c>
      <x:c r="T940" s="9" t="str">
        <x:v>Chinese cast (names verify); protagonist Lu Yuan</x:v>
      </x:c>
      <x:c r="U940" s="9" t="n">
        <x:v>0</x:v>
      </x:c>
      <x:c r="V940" s="9" t="str">
        <x:v>Yes</x:v>
      </x:c>
      <x:c r="W940" s="9" t="str">
        <x:v>Windows 10 (spec verify); also macOS</x:v>
      </x:c>
      <x:c r="X940" s="9" t="str">
        <x:v>Low</x:v>
      </x:c>
      <x:c r="Y940" s="9" t="str"/>
      <x:c r="Z940" s="9" t="str">
        <x:v>6–8 hr (verify)</x:v>
      </x:c>
      <x:c r="AA940" s="9" t="str">
        <x:v>Lu Yuan from youth to middle age, with every fork you never took: the Chinese wave's life-choices FMV, 4,500+ reviews.</x:v>
      </x:c>
      <x:c r="AB940" s="9" t="str">
        <x:v>None known</x:v>
      </x:c>
      <x:c r="AC940" s="9" t="str">
        <x:v>Live-action branching life story following a young director through entertainment-industry ambition and compromises.</x:v>
      </x:c>
      <x:c r="AD940" s="9" t="str">
        <x:v>Easy</x:v>
      </x:c>
      <x:c r="AE940" s="9" t="str">
        <x:v>Many</x:v>
      </x:c>
      <x:c r="AF940" s="9" t="str">
        <x:v>The earlier PC sweep listed it as a smaller-footprint dating sim; it is a life drama with the fourth-highest review count on fmvgo.</x:v>
      </x:c>
      <x:c r="AG940" s="9" t="str">
        <x:v>Digital only</x:v>
      </x:c>
      <x:c r="AH940" s="9" t="str">
        <x:v>Yes (Steam)</x:v>
      </x:c>
      <x:c r="AI940" s="9" t="str">
        <x:v>Easy</x:v>
      </x:c>
      <x:c r="AJ940" s="9" t="str">
        <x:v>Steam (Windows): https://store.steampowered.com/app/2758000/</x:v>
      </x:c>
      <x:c r="AK940" s="9" t="str">
        <x:v>Steam 19 Feb 2024, $6.99; 87% of 4,592 (fmvgo, Sep 2026). Audit: English title now Vanity Fair: The Pursuit; Chinese title 名利游戏. Store currently lists several publishers; dates of their involvement not established. Sources: https://store.steampowered.com/app/2758000/ ; https://store.steampowered.com/app/2758000/</x:v>
      </x:c>
      <x:c r="AL940" s="10"/>
      <x:c r="AM940" s="10"/>
      <x:c r="AN940" s="10"/>
      <x:c r="AO940" s="9"/>
      <x:c r="AP940" s="11" t="str">
        <x:f>HYPERLINK("https://www.pricecharting.com/search-products?q=Vanity+Fair%3A+The+Pursuit+pc+games&amp;type=prices","PriceCharting")</x:f>
        <x:v>PriceCharting</x:v>
      </x:c>
      <x:c r="AQ940" s="9" t="n">
        <x:v>6.99</x:v>
      </x:c>
      <x:c r="AR940" s="11" t="str">
        <x:v>Steam</x:v>
      </x:c>
      <x:c r="AS940" s="9" t="str">
        <x:f>HYPERLINK("https://store.steampowered.com/app/2758000/","Store")</x:f>
        <x:v>Store</x:v>
      </x:c>
      <x:c r="AT940" s="9" t="str">
        <x:v>2026-10-25</x:v>
      </x:c>
      <x:c r="AU940" s="9"/>
      <x:c r="AV940" s="9"/>
      <x:c r="AW940" s="9"/>
      <x:c r="AX940" s="9"/>
      <x:c r="AY940" s="9"/>
      <x:c r="AZ940" s="9"/>
      <x:c r="BA940" s="11" t="str">
        <x:f>HYPERLINK("https://www.mobygames.com/search/?q=Vanity+Fair%3A+The+Pursuit","MobyGames")</x:f>
        <x:v>MobyGames</x:v>
      </x:c>
      <x:c r="BB940" s="9" t="str"/>
      <x:c r="BC940" s="9" t="str"/>
      <x:c r="BD940" s="9"/>
      <x:c r="BE940" s="9"/>
      <x:c r="BF940" s="11" t="str">
        <x:f>HYPERLINK("https://backloggd.com/search/games/Vanity%20Fair%3A%20The%20Pursuit/","Backloggd")</x:f>
        <x:v>Backloggd</x:v>
      </x:c>
      <x:c r="BG940" s="9"/>
      <x:c r="BH940" s="9"/>
      <x:c r="BI940" s="12" t="str">
        <x:v>No</x:v>
      </x:c>
      <x:c r="BJ940" s="12" t="str"/>
      <x:c r="BK940" s="12" t="str">
        <x:v>No</x:v>
      </x:c>
      <x:c r="BL940" s="12" t="str"/>
      <x:c r="BM940" s="12" t="str"/>
      <x:c r="BN940" s="12" t="str"/>
      <x:c r="BO940" s="12" t="str"/>
      <x:c r="BP940" s="12" t="str"/>
      <x:c r="BQ940" s="12" t="str"/>
    </x:row>
    <x:row r="941">
      <x:c r="A941" s="9" t="str">
        <x:v>pc-260</x:v>
      </x:c>
      <x:c r="B941" s="9" t="str">
        <x:v>game-of-fate-chasing-through-time</x:v>
      </x:c>
      <x:c r="C941" s="9" t="str">
        <x:v>PC</x:v>
      </x:c>
      <x:c r="D941" s="9" t="str">
        <x:v>Game of Fate: Chasing Through Time</x:v>
      </x:c>
      <x:c r="E941" s="9" t="str"/>
      <x:c r="F941" s="9" t="str">
        <x:v>KARMAGAME HK LIMITED</x:v>
      </x:c>
      <x:c r="G941" s="9" t="str">
        <x:v>EpicDream Games</x:v>
      </x:c>
      <x:c r="H941" s="9" t="n">
        <x:v>2024</x:v>
      </x:c>
      <x:c r="I941" s="9" t="str">
        <x:v>Yes</x:v>
      </x:c>
      <x:c r="J941" s="9" t="str">
        <x:v>Yes</x:v>
      </x:c>
      <x:c r="K941" s="9" t="str">
        <x:v>Yes</x:v>
      </x:c>
      <x:c r="L941" s="9" t="str">
        <x:v>No</x:v>
      </x:c>
      <x:c r="M941" s="9" t="str">
        <x:v>First-person live-action mystery</x:v>
      </x:c>
      <x:c r="N941" s="9" t="str">
        <x:v>Live-action</x:v>
      </x:c>
      <x:c r="O941" s="9" t="n">
        <x:v>10</x:v>
      </x:c>
      <x:c r="P941" s="9" t="str">
        <x:v>Interactive movie</x:v>
      </x:c>
      <x:c r="Q941" s="9" t="str">
        <x:v>Released</x:v>
      </x:c>
      <x:c r="R941" s="9" t="str">
        <x:v>Original production (Hong Kong/China)</x:v>
      </x:c>
      <x:c r="S941" s="9" t="str">
        <x:v>macOS</x:v>
      </x:c>
      <x:c r="T941" s="9" t="str">
        <x:v>Cast (names verify)</x:v>
      </x:c>
      <x:c r="U941" s="9" t="n">
        <x:v>0</x:v>
      </x:c>
      <x:c r="V941" s="9" t="str">
        <x:v>Yes</x:v>
      </x:c>
      <x:c r="W941" s="9" t="str">
        <x:v>Windows 10 (spec verify); also macOS</x:v>
      </x:c>
      <x:c r="X941" s="9" t="str">
        <x:v>Low</x:v>
      </x:c>
      <x:c r="Y941" s="9" t="str"/>
      <x:c r="Z941" s="9" t="str">
        <x:v>5–6 hr (verify)</x:v>
      </x:c>
      <x:c r="AA941" s="9" t="str">
        <x:v>Time-hopping first-person murder cases from KARMAGAME, the most prolific studio of the Chinese FMV wave.</x:v>
      </x:c>
      <x:c r="AB941" s="9" t="str">
        <x:v>None known</x:v>
      </x:c>
      <x:c r="AC941" s="9" t="str">
        <x:v>First-person live action, Chinese audio with English subtitles</x:v>
      </x:c>
      <x:c r="AD941" s="9" t="str">
        <x:v>Moderate</x:v>
      </x:c>
      <x:c r="AE941" s="9" t="str">
        <x:v>Multiple</x:v>
      </x:c>
      <x:c r="AF941" s="9" t="str">
        <x:v>First of a series: Game of Fate 2: A Century's Promise (Jan 2025) and Game Of Fate 3: Clash Of Crowns (Dec 2025) followed; KARMAGAME also made MY DESTINY GIRLS, Cellveillance and PatriotMemoirs.</x:v>
      </x:c>
      <x:c r="AG941" s="9" t="str">
        <x:v>Sequels sold separately (see trivia)</x:v>
      </x:c>
      <x:c r="AH941" s="9" t="str">
        <x:v>Yes (Steam)</x:v>
      </x:c>
      <x:c r="AI941" s="9" t="str">
        <x:v>Easy</x:v>
      </x:c>
      <x:c r="AJ941" s="9" t="str">
        <x:v>Steam (Windows/Mac)</x:v>
      </x:c>
      <x:c r="AK941" s="9" t="str">
        <x:v>Steam 30 Oct 2024, $10.99; Very Positive 87% of 1,125 (fmvgo, Sep 2026). One record for the series' first game.</x:v>
      </x:c>
      <x:c r="AL941" s="10"/>
      <x:c r="AM941" s="10"/>
      <x:c r="AN941" s="10"/>
      <x:c r="AO941" s="9"/>
      <x:c r="AP941" s="11" t="str">
        <x:f>HYPERLINK("https://www.pricecharting.com/search-products?q=Game+of+Fate%3A+Chasing+Through+Time+pc+games&amp;type=prices","PriceCharting")</x:f>
        <x:v>PriceCharting</x:v>
      </x:c>
      <x:c r="AQ941" s="9" t="n">
        <x:v>10.99</x:v>
      </x:c>
      <x:c r="AR941" s="11" t="str">
        <x:v>Steam</x:v>
      </x:c>
      <x:c r="AS941" s="9" t="str">
        <x:f>HYPERLINK("https://store.steampowered.com/app/2963550/","Store")</x:f>
        <x:v>Store</x:v>
      </x:c>
      <x:c r="AT941" s="9" t="str">
        <x:v>2026-10-25</x:v>
      </x:c>
      <x:c r="AU941" s="9"/>
      <x:c r="AV941" s="9"/>
      <x:c r="AW941" s="9"/>
      <x:c r="AX941" s="9"/>
      <x:c r="AY941" s="9"/>
      <x:c r="AZ941" s="9"/>
      <x:c r="BA941" s="11" t="str">
        <x:f>HYPERLINK("https://www.mobygames.com/search/?q=Game+of+Fate%3A+Chasing+Through+Time","MobyGames")</x:f>
        <x:v>MobyGames</x:v>
      </x:c>
      <x:c r="BB941" s="9" t="str"/>
      <x:c r="BC941" s="9" t="str"/>
      <x:c r="BD941" s="9"/>
      <x:c r="BE941" s="9"/>
      <x:c r="BF941" s="11" t="str">
        <x:f>HYPERLINK("https://backloggd.com/search/games/Game%20of%20Fate%3A%20Chasing%20Through%20Time/","Backloggd")</x:f>
        <x:v>Backloggd</x:v>
      </x:c>
      <x:c r="BG941" s="9"/>
      <x:c r="BH941" s="9"/>
      <x:c r="BI941" s="12" t="str">
        <x:v>No</x:v>
      </x:c>
      <x:c r="BJ941" s="12" t="str"/>
      <x:c r="BK941" s="12" t="str">
        <x:v>No</x:v>
      </x:c>
      <x:c r="BL941" s="12" t="str"/>
      <x:c r="BM941" s="12" t="str"/>
      <x:c r="BN941" s="12" t="str"/>
      <x:c r="BO941" s="12" t="str"/>
      <x:c r="BP941" s="12" t="str"/>
      <x:c r="BQ941" s="12" t="str"/>
    </x:row>
    <x:row r="942">
      <x:c r="A942" s="9" t="str">
        <x:v>pc-261</x:v>
      </x:c>
      <x:c r="B942" s="9" t="str">
        <x:v>tomorrows-love-puzzle</x:v>
      </x:c>
      <x:c r="C942" s="9" t="str">
        <x:v>PC</x:v>
      </x:c>
      <x:c r="D942" s="9" t="str">
        <x:v>Tomorrow's Love Puzzle</x:v>
      </x:c>
      <x:c r="E942" s="9" t="str"/>
      <x:c r="F942" s="9" t="str">
        <x:v>EpicDream Games; Youyuan Media</x:v>
      </x:c>
      <x:c r="G942" s="9" t="str">
        <x:v>EpicDream Games; Youku</x:v>
      </x:c>
      <x:c r="H942" s="9" t="n">
        <x:v>2024</x:v>
      </x:c>
      <x:c r="I942" s="9" t="str">
        <x:v>Yes</x:v>
      </x:c>
      <x:c r="J942" s="9" t="str">
        <x:v>Yes</x:v>
      </x:c>
      <x:c r="K942" s="9" t="str">
        <x:v>Yes</x:v>
      </x:c>
      <x:c r="L942" s="9" t="str">
        <x:v>No</x:v>
      </x:c>
      <x:c r="M942" s="9" t="str">
        <x:v>First-person live-action romance</x:v>
      </x:c>
      <x:c r="N942" s="9" t="str">
        <x:v>Live-action</x:v>
      </x:c>
      <x:c r="O942" s="9" t="n">
        <x:v>10</x:v>
      </x:c>
      <x:c r="P942" s="9" t="str">
        <x:v>Interactive movie</x:v>
      </x:c>
      <x:c r="Q942" s="9" t="str">
        <x:v>Released</x:v>
      </x:c>
      <x:c r="R942" s="9" t="str">
        <x:v>Original production (China)</x:v>
      </x:c>
      <x:c r="S942" s="9" t="str">
        <x:v>macOS</x:v>
      </x:c>
      <x:c r="T942" s="9" t="str">
        <x:v>Cast (names verify); player character Ming Tian</x:v>
      </x:c>
      <x:c r="U942" s="9" t="n">
        <x:v>0</x:v>
      </x:c>
      <x:c r="V942" s="9" t="str">
        <x:v>Yes</x:v>
      </x:c>
      <x:c r="W942" s="9" t="str">
        <x:v>Windows 10 (spec verify); also macOS</x:v>
      </x:c>
      <x:c r="X942" s="9" t="str">
        <x:v>Low</x:v>
      </x:c>
      <x:c r="Y942" s="9" t="str"/>
      <x:c r="Z942" s="9" t="str">
        <x:v>5–6 hr (verify)</x:v>
      </x:c>
      <x:c r="AA942" s="9" t="str">
        <x:v>Youku-backed romance FMV with six leads, from the publisher of the Game of Fate series.</x:v>
      </x:c>
      <x:c r="AB942" s="9" t="str">
        <x:v>None known</x:v>
      </x:c>
      <x:c r="AC942" s="9" t="str">
        <x:v>First-person live action, Chinese audio with English subtitles</x:v>
      </x:c>
      <x:c r="AD942" s="9" t="str">
        <x:v>Easy</x:v>
      </x:c>
      <x:c r="AE942" s="9" t="str">
        <x:v>Multiple</x:v>
      </x:c>
      <x:c r="AF942" s="9" t="str">
        <x:v>Co-published by the streaming service Youku; no content advisory on Steam.</x:v>
      </x:c>
      <x:c r="AG942" s="9" t="str">
        <x:v>Digital only</x:v>
      </x:c>
      <x:c r="AH942" s="9" t="str">
        <x:v>Yes (Steam)</x:v>
      </x:c>
      <x:c r="AI942" s="9" t="str">
        <x:v>Easy</x:v>
      </x:c>
      <x:c r="AJ942" s="9" t="str">
        <x:v>Steam (Windows/Mac)</x:v>
      </x:c>
      <x:c r="AK942" s="9" t="str">
        <x:v>Steam 25 Jan 2024, $9.99; Mostly Positive 70% of 1,195 (fmvgo, Sep 2026).</x:v>
      </x:c>
      <x:c r="AL942" s="10"/>
      <x:c r="AM942" s="10"/>
      <x:c r="AN942" s="10"/>
      <x:c r="AO942" s="9"/>
      <x:c r="AP942" s="11" t="str">
        <x:f>HYPERLINK("https://www.pricecharting.com/search-products?q=Tomorrow%27s+Love+Puzzle+pc+games&amp;type=prices","PriceCharting")</x:f>
        <x:v>PriceCharting</x:v>
      </x:c>
      <x:c r="AQ942" s="9" t="n">
        <x:v>9.99</x:v>
      </x:c>
      <x:c r="AR942" s="11" t="str">
        <x:v>Steam</x:v>
      </x:c>
      <x:c r="AS942" s="9" t="str">
        <x:f>HYPERLINK("https://store.steampowered.com/app/2726890/","Store")</x:f>
        <x:v>Store</x:v>
      </x:c>
      <x:c r="AT942" s="9" t="str">
        <x:v>2026-10-25</x:v>
      </x:c>
      <x:c r="AU942" s="9"/>
      <x:c r="AV942" s="9"/>
      <x:c r="AW942" s="9"/>
      <x:c r="AX942" s="9"/>
      <x:c r="AY942" s="9"/>
      <x:c r="AZ942" s="9"/>
      <x:c r="BA942" s="11" t="str">
        <x:f>HYPERLINK("https://www.mobygames.com/search/?q=Tomorrow%27s+Love+Puzzle","MobyGames")</x:f>
        <x:v>MobyGames</x:v>
      </x:c>
      <x:c r="BB942" s="9" t="str"/>
      <x:c r="BC942" s="9" t="str"/>
      <x:c r="BD942" s="9"/>
      <x:c r="BE942" s="9"/>
      <x:c r="BF942" s="11" t="str">
        <x:f>HYPERLINK("https://backloggd.com/search/games/Tomorrow%27s%20Love%20Puzzle/","Backloggd")</x:f>
        <x:v>Backloggd</x:v>
      </x:c>
      <x:c r="BG942" s="9"/>
      <x:c r="BH942" s="9"/>
      <x:c r="BI942" s="12" t="str">
        <x:v>No</x:v>
      </x:c>
      <x:c r="BJ942" s="12" t="str"/>
      <x:c r="BK942" s="12" t="str">
        <x:v>No</x:v>
      </x:c>
      <x:c r="BL942" s="12" t="str"/>
      <x:c r="BM942" s="12" t="str"/>
      <x:c r="BN942" s="12" t="str"/>
      <x:c r="BO942" s="12" t="str"/>
      <x:c r="BP942" s="12" t="str"/>
      <x:c r="BQ942" s="12" t="str"/>
    </x:row>
    <x:row r="943">
      <x:c r="A943" s="9" t="str">
        <x:v>pc-262</x:v>
      </x:c>
      <x:c r="B943" s="9" t="str">
        <x:v>breakout-13</x:v>
      </x:c>
      <x:c r="C943" s="9" t="str">
        <x:v>PC</x:v>
      </x:c>
      <x:c r="D943" s="9" t="str">
        <x:v>Breakout 13</x:v>
      </x:c>
      <x:c r="E943" s="9" t="str"/>
      <x:c r="F943" s="9" t="str">
        <x:v>ALT Lab</x:v>
      </x:c>
      <x:c r="G943" s="9" t="str">
        <x:v>ALT Lab</x:v>
      </x:c>
      <x:c r="H943" s="9" t="n">
        <x:v>2023</x:v>
      </x:c>
      <x:c r="I943" s="9" t="str">
        <x:v>Yes</x:v>
      </x:c>
      <x:c r="J943" s="9" t="str">
        <x:v>Yes</x:v>
      </x:c>
      <x:c r="K943" s="9" t="str">
        <x:v>Yes</x:v>
      </x:c>
      <x:c r="L943" s="9" t="str">
        <x:v>No</x:v>
      </x:c>
      <x:c r="M943" s="9" t="str">
        <x:v>Live-action escape drama</x:v>
      </x:c>
      <x:c r="N943" s="9" t="str">
        <x:v>Live-action</x:v>
      </x:c>
      <x:c r="O943" s="9" t="n">
        <x:v>10</x:v>
      </x:c>
      <x:c r="P943" s="9" t="str">
        <x:v>Interactive movie</x:v>
      </x:c>
      <x:c r="Q943" s="9" t="str">
        <x:v>Released</x:v>
      </x:c>
      <x:c r="R943" s="9" t="str">
        <x:v>Original production (China), inspired by real events</x:v>
      </x:c>
      <x:c r="S943" s="9" t="str">
        <x:v>macOS, Linux, iOS</x:v>
      </x:c>
      <x:c r="T943" s="9" t="str">
        <x:v>Chinese cast (names verify)</x:v>
      </x:c>
      <x:c r="U943" s="9" t="n">
        <x:v>0</x:v>
      </x:c>
      <x:c r="V943" s="9" t="str">
        <x:v>Yes</x:v>
      </x:c>
      <x:c r="W943" s="9" t="str">
        <x:v>Windows 10 (spec verify); also macOS, Linux</x:v>
      </x:c>
      <x:c r="X943" s="9" t="str">
        <x:v>Low</x:v>
      </x:c>
      <x:c r="Y943" s="9" t="str"/>
      <x:c r="Z943" s="9" t="str">
        <x:v>6–8 hr (verify)</x:v>
      </x:c>
      <x:c r="AA943" s="9" t="str">
        <x:v>Escape from an abusive 'internet addiction' camp, based on real cases: the game that proved Chinese FMV could sell on Steam, 7,500 reviews.</x:v>
      </x:c>
      <x:c r="AB943" s="9" t="str">
        <x:v>None known</x:v>
      </x:c>
      <x:c r="AC943" s="9" t="str">
        <x:v>Live-action branching escape thriller with QTEs, clue gathering, puzzles and surveillance footage.</x:v>
      </x:c>
      <x:c r="AD943" s="9" t="str">
        <x:v>Moderate</x:v>
      </x:c>
      <x:c r="AE943" s="9" t="str">
        <x:v>Multiple</x:v>
      </x:c>
      <x:c r="AF943" s="9" t="str">
        <x:v>Released January 2023, ten months before Love Is All Around; fmvgo's history page names it as a founder of the Chinese wave.</x:v>
      </x:c>
      <x:c r="AG943" s="9" t="str">
        <x:v>Digital only</x:v>
      </x:c>
      <x:c r="AH943" s="9" t="str">
        <x:v>Yes (Steam)</x:v>
      </x:c>
      <x:c r="AI943" s="9" t="str">
        <x:v>Easy</x:v>
      </x:c>
      <x:c r="AJ943" s="9" t="str">
        <x:v>Steam (Windows): https://store.steampowered.com/app/2095300/</x:v>
      </x:c>
      <x:c r="AK943" s="9" t="str">
        <x:v>Steam 8 Jan 2023, $9.99; Very Positive 88% of 7,492 (fmvgo, Sep 2026). Audit: Buy Complete Edition: base purchase includes Part I Gratitude; Part II Fight is separate paid DLC. English subtitles; Mandarin audio. Single-player requires internet. Sources: https://store.steampowered.com/app/2095300/ ; https://steamcommunity.com/app/2095300/allnews/</x:v>
      </x:c>
      <x:c r="AL943" s="10"/>
      <x:c r="AM943" s="10"/>
      <x:c r="AN943" s="10"/>
      <x:c r="AO943" s="9"/>
      <x:c r="AP943" s="11" t="str">
        <x:f>HYPERLINK("https://www.pricecharting.com/search-products?q=Breakout+13+pc+games&amp;type=prices","PriceCharting")</x:f>
        <x:v>PriceCharting</x:v>
      </x:c>
      <x:c r="AQ943" s="9" t="n">
        <x:v>9.99</x:v>
      </x:c>
      <x:c r="AR943" s="11" t="str">
        <x:v>Steam</x:v>
      </x:c>
      <x:c r="AS943" s="9" t="str">
        <x:f>HYPERLINK("https://store.steampowered.com/app/2095300/","Store")</x:f>
        <x:v>Store</x:v>
      </x:c>
      <x:c r="AT943" s="9" t="str">
        <x:v>2026-10-25</x:v>
      </x:c>
      <x:c r="AU943" s="9"/>
      <x:c r="AV943" s="9"/>
      <x:c r="AW943" s="9"/>
      <x:c r="AX943" s="9"/>
      <x:c r="AY943" s="9"/>
      <x:c r="AZ943" s="9"/>
      <x:c r="BA943" s="11" t="str">
        <x:f>HYPERLINK("https://www.mobygames.com/search/?q=Breakout+13","MobyGames")</x:f>
        <x:v>MobyGames</x:v>
      </x:c>
      <x:c r="BB943" s="9" t="str"/>
      <x:c r="BC943" s="9" t="str"/>
      <x:c r="BD943" s="9"/>
      <x:c r="BE943" s="11" t="str">
        <x:f>HYPERLINK("https://en.wikipedia.org/wiki/Breakout_13","Wikipedia")</x:f>
        <x:v>Wikipedia</x:v>
      </x:c>
      <x:c r="BF943" s="11" t="str">
        <x:f>HYPERLINK("https://backloggd.com/search/games/Breakout%2013/","Backloggd")</x:f>
        <x:v>Backloggd</x:v>
      </x:c>
      <x:c r="BG943" s="9"/>
      <x:c r="BH943" s="9"/>
      <x:c r="BI943" s="12" t="str">
        <x:v>No</x:v>
      </x:c>
      <x:c r="BJ943" s="12" t="str"/>
      <x:c r="BK943" s="12" t="str">
        <x:v>No</x:v>
      </x:c>
      <x:c r="BL943" s="12" t="str"/>
      <x:c r="BM943" s="12" t="str"/>
      <x:c r="BN943" s="12" t="str"/>
      <x:c r="BO943" s="12" t="str"/>
      <x:c r="BP943" s="12" t="str"/>
      <x:c r="BQ943" s="12" t="str"/>
    </x:row>
    <x:row r="944">
      <x:c r="A944" s="9" t="str">
        <x:v>pc-263</x:v>
      </x:c>
      <x:c r="B944" s="9" t="str">
        <x:v>the-isle-tide-hotel</x:v>
      </x:c>
      <x:c r="C944" s="9" t="str">
        <x:v>PC</x:v>
      </x:c>
      <x:c r="D944" s="9" t="str">
        <x:v>The Isle Tide Hotel</x:v>
      </x:c>
      <x:c r="E944" s="9" t="str"/>
      <x:c r="F944" s="9" t="str">
        <x:v>Wales Interactive; Interflix Media</x:v>
      </x:c>
      <x:c r="G944" s="9" t="str">
        <x:v>Wales Interactive</x:v>
      </x:c>
      <x:c r="H944" s="9" t="n">
        <x:v>2023</x:v>
      </x:c>
      <x:c r="I944" s="9" t="str">
        <x:v>Yes</x:v>
      </x:c>
      <x:c r="J944" s="9" t="str">
        <x:v>Yes</x:v>
      </x:c>
      <x:c r="K944" s="9" t="str">
        <x:v>Yes</x:v>
      </x:c>
      <x:c r="L944" s="9" t="str">
        <x:v>No</x:v>
      </x:c>
      <x:c r="M944" s="9" t="str">
        <x:v>FMV detective adventure</x:v>
      </x:c>
      <x:c r="N944" s="9" t="str">
        <x:v>Live-action</x:v>
      </x:c>
      <x:c r="O944" s="9" t="n">
        <x:v>10</x:v>
      </x:c>
      <x:c r="P944" s="9" t="str">
        <x:v>Interactive movie</x:v>
      </x:c>
      <x:c r="Q944" s="9" t="str">
        <x:v>Released</x:v>
      </x:c>
      <x:c r="R944" s="9" t="str">
        <x:v>Original production (UK)</x:v>
      </x:c>
      <x:c r="S944" s="9" t="str">
        <x:v>PS5, PS4, Xbox Series, Xbox One, Switch, iOS (verify); macOS</x:v>
      </x:c>
      <x:c r="T944" s="9" t="str">
        <x:v>Cast from Game of Thrones and The Witcher (names verify)</x:v>
      </x:c>
      <x:c r="U944" s="9" t="n">
        <x:v>0</x:v>
      </x:c>
      <x:c r="V944" s="9" t="str">
        <x:v>Yes</x:v>
      </x:c>
      <x:c r="W944" s="9" t="str">
        <x:v>Windows 10 (spec verify); also macOS</x:v>
      </x:c>
      <x:c r="X944" s="9" t="str">
        <x:v>Low</x:v>
      </x:c>
      <x:c r="Y944" s="9" t="str"/>
      <x:c r="Z944" s="9" t="str">
        <x:v>2–3 hr per run</x:v>
      </x:c>
      <x:c r="AA944" s="9" t="str">
        <x:v>Wales Interactive's cult-hotel mystery: question the guests, infiltrate the cult, find your daughter.</x:v>
      </x:c>
      <x:c r="AB944" s="9" t="str">
        <x:v>None known</x:v>
      </x:c>
      <x:c r="AC944" s="9" t="str">
        <x:v>A filmed detective story in which questioning hotel guests and gathering clues branches the narrative.</x:v>
      </x:c>
      <x:c r="AD944" s="9" t="str">
        <x:v>Moderate</x:v>
      </x:c>
      <x:c r="AE944" s="9" t="str">
        <x:v>Multiple</x:v>
      </x:c>
      <x:c r="AF944" s="9" t="str">
        <x:v>Mixed on Steam (65%), the weakest-received Wales Interactive FMV.</x:v>
      </x:c>
      <x:c r="AG944" s="9" t="str">
        <x:v>Digital; console editions (verify)</x:v>
      </x:c>
      <x:c r="AH944" s="9" t="str">
        <x:v>Yes (Steam)</x:v>
      </x:c>
      <x:c r="AI944" s="9" t="str">
        <x:v>Easy</x:v>
      </x:c>
      <x:c r="AJ944" s="9" t="str">
        <x:v>Steam (Windows): https://store.steampowered.com/app/2000090/</x:v>
      </x:c>
      <x:c r="AK944" s="9" t="str">
        <x:v>Steam 11 Sep 2023, $7.99; Mixed 65% of 279 (fmvgo, Sep 2026). Audit: Steam displays Sep 11 while publisher launch announcement is Sep 12; year is unambiguous. Sources: https://store.steampowered.com/app/2000090/ ; https://steamcommunity.com/app/2000090/allnews/</x:v>
      </x:c>
      <x:c r="AL944" s="10"/>
      <x:c r="AM944" s="10"/>
      <x:c r="AN944" s="10"/>
      <x:c r="AO944" s="9"/>
      <x:c r="AP944" s="11" t="str">
        <x:f>HYPERLINK("https://www.pricecharting.com/search-products?q=The+Isle+Tide+Hotel+pc+games&amp;type=prices","PriceCharting")</x:f>
        <x:v>PriceCharting</x:v>
      </x:c>
      <x:c r="AQ944" s="9" t="n">
        <x:v>19.99</x:v>
      </x:c>
      <x:c r="AR944" s="11" t="str">
        <x:v>Steam</x:v>
      </x:c>
      <x:c r="AS944" s="9" t="str">
        <x:f>HYPERLINK("https://store.steampowered.com/app/2000090/","Store")</x:f>
        <x:v>Store</x:v>
      </x:c>
      <x:c r="AT944" s="9" t="str">
        <x:v>2026-10-25</x:v>
      </x:c>
      <x:c r="AU944" s="9"/>
      <x:c r="AV944" s="9"/>
      <x:c r="AW944" s="9"/>
      <x:c r="AX944" s="9"/>
      <x:c r="AY944" s="9"/>
      <x:c r="AZ944" s="9"/>
      <x:c r="BA944" s="11" t="str">
        <x:f>HYPERLINK("https://www.mobygames.com/search/?q=The+Isle+Tide+Hotel","MobyGames")</x:f>
        <x:v>MobyGames</x:v>
      </x:c>
      <x:c r="BB944" s="9" t="str"/>
      <x:c r="BC944" s="9" t="str"/>
      <x:c r="BD944" s="9"/>
      <x:c r="BE944" s="9"/>
      <x:c r="BF944" s="11" t="str">
        <x:f>HYPERLINK("https://backloggd.com/search/games/The%20Isle%20Tide%20Hotel/","Backloggd")</x:f>
        <x:v>Backloggd</x:v>
      </x:c>
      <x:c r="BG944" s="9"/>
      <x:c r="BH944" s="9"/>
      <x:c r="BI944" s="12" t="str">
        <x:v>No</x:v>
      </x:c>
      <x:c r="BJ944" s="12" t="str"/>
      <x:c r="BK944" s="12" t="str">
        <x:v>No</x:v>
      </x:c>
      <x:c r="BL944" s="12" t="str"/>
      <x:c r="BM944" s="12" t="str"/>
      <x:c r="BN944" s="12" t="str"/>
      <x:c r="BO944" s="12" t="str"/>
      <x:c r="BP944" s="12" t="str"/>
      <x:c r="BQ944" s="12" t="str"/>
    </x:row>
    <x:row r="945">
      <x:c r="A945" s="9" t="str">
        <x:v>pc-264</x:v>
      </x:c>
      <x:c r="B945" s="9" t="str">
        <x:v>underdog-detective</x:v>
      </x:c>
      <x:c r="C945" s="9" t="str">
        <x:v>PC</x:v>
      </x:c>
      <x:c r="D945" s="9" t="str">
        <x:v>Underdog Detective</x:v>
      </x:c>
      <x:c r="E945" s="9" t="str">
        <x:v>神都不良探</x:v>
      </x:c>
      <x:c r="F945" s="9" t="str">
        <x:v>Tianjin Yunyun Technology</x:v>
      </x:c>
      <x:c r="G945" s="9" t="str">
        <x:v>Tianjin Yunyun Technology</x:v>
      </x:c>
      <x:c r="H945" s="9" t="n">
        <x:v>2022</x:v>
      </x:c>
      <x:c r="I945" s="9" t="str">
        <x:v>Yes</x:v>
      </x:c>
      <x:c r="J945" s="9" t="str">
        <x:v>Yes</x:v>
      </x:c>
      <x:c r="K945" s="9" t="str">
        <x:v>Yes</x:v>
      </x:c>
      <x:c r="L945" s="9" t="str">
        <x:v>No</x:v>
      </x:c>
      <x:c r="M945" s="9" t="str">
        <x:v>Live-action comedy mystery</x:v>
      </x:c>
      <x:c r="N945" s="9" t="str">
        <x:v>Live-action</x:v>
      </x:c>
      <x:c r="O945" s="9" t="n">
        <x:v>10</x:v>
      </x:c>
      <x:c r="P945" s="9" t="str">
        <x:v>Interactive movie</x:v>
      </x:c>
      <x:c r="Q945" s="9" t="str">
        <x:v>Released</x:v>
      </x:c>
      <x:c r="R945" s="9" t="str">
        <x:v>Original production (China), Tang-dynasty setting</x:v>
      </x:c>
      <x:c r="S945" s="9" t="str">
        <x:v>macOS</x:v>
      </x:c>
      <x:c r="T945" s="9" t="str">
        <x:v>Chinese cast (names verify)</x:v>
      </x:c>
      <x:c r="U945" s="9" t="n">
        <x:v>0</x:v>
      </x:c>
      <x:c r="V945" s="9" t="str">
        <x:v>Yes</x:v>
      </x:c>
      <x:c r="W945" s="9" t="str">
        <x:v>Windows 10 (spec verify); also macOS</x:v>
      </x:c>
      <x:c r="X945" s="9" t="str">
        <x:v>Low</x:v>
      </x:c>
      <x:c r="Y945" s="9" t="str"/>
      <x:c r="Z945" s="9" t="str">
        <x:v>6–8 hr (verify)</x:v>
      </x:c>
      <x:c r="AA945" s="9" t="str">
        <x:v>A poor Luoyang local under Empress Wu, solving crimes by accident: a pre-wave Chinese FMV comedy with 2,800 reviews.</x:v>
      </x:c>
      <x:c r="AB945" s="9" t="str">
        <x:v>None known</x:v>
      </x:c>
      <x:c r="AC945" s="9" t="str">
        <x:v>Filmed historical mystery with choices, QTE action, environmental puzzles and deduction.</x:v>
      </x:c>
      <x:c r="AD945" s="9" t="str">
        <x:v>Moderate</x:v>
      </x:c>
      <x:c r="AE945" s="9" t="str">
        <x:v>Multiple</x:v>
      </x:c>
      <x:c r="AF945" s="9" t="str">
        <x:v>Released in 2022, a year before Breakout 13 and Love Is All Around.</x:v>
      </x:c>
      <x:c r="AG945" s="9" t="str">
        <x:v>Digital only</x:v>
      </x:c>
      <x:c r="AH945" s="9" t="str">
        <x:v>Yes (Steam)</x:v>
      </x:c>
      <x:c r="AI945" s="9" t="str">
        <x:v>Easy</x:v>
      </x:c>
      <x:c r="AJ945" s="9" t="str">
        <x:v>Steam (Windows): https://store.steampowered.com/app/1681970/</x:v>
      </x:c>
      <x:c r="AK945" s="9" t="str">
        <x:v>Steam 27 Apr 2022, $7.99; Mostly Positive 73% of 2,860 (fmvgo, Sep 2026). Audit: Buy Complete Season: base is Episodes1–5 and Episodes6–17 are paid DLC. Mandarin audio and English subtitles. Sources: https://store.steampowered.com/app/1681970/ ; https://store.steampowered.com/app/1681970/</x:v>
      </x:c>
      <x:c r="AL945" s="10"/>
      <x:c r="AM945" s="10"/>
      <x:c r="AN945" s="10"/>
      <x:c r="AO945" s="9"/>
      <x:c r="AP945" s="11" t="str">
        <x:f>HYPERLINK("https://www.pricecharting.com/search-products?q=Underdog+Detective+pc+games&amp;type=prices","PriceCharting")</x:f>
        <x:v>PriceCharting</x:v>
      </x:c>
      <x:c r="AQ945" s="9" t="n">
        <x:v>7.99</x:v>
      </x:c>
      <x:c r="AR945" s="11" t="str">
        <x:v>Steam</x:v>
      </x:c>
      <x:c r="AS945" s="9" t="str">
        <x:f>HYPERLINK("https://store.steampowered.com/app/1681970/","Store")</x:f>
        <x:v>Store</x:v>
      </x:c>
      <x:c r="AT945" s="9" t="str">
        <x:v>2026-10-25</x:v>
      </x:c>
      <x:c r="AU945" s="9"/>
      <x:c r="AV945" s="9"/>
      <x:c r="AW945" s="9"/>
      <x:c r="AX945" s="9"/>
      <x:c r="AY945" s="9"/>
      <x:c r="AZ945" s="9"/>
      <x:c r="BA945" s="11" t="str">
        <x:f>HYPERLINK("https://www.mobygames.com/search/?q=Underdog+Detective","MobyGames")</x:f>
        <x:v>MobyGames</x:v>
      </x:c>
      <x:c r="BB945" s="9" t="str"/>
      <x:c r="BC945" s="9" t="str"/>
      <x:c r="BD945" s="9"/>
      <x:c r="BE945" s="9"/>
      <x:c r="BF945" s="11" t="str">
        <x:f>HYPERLINK("https://backloggd.com/search/games/Underdog%20Detective/","Backloggd")</x:f>
        <x:v>Backloggd</x:v>
      </x:c>
      <x:c r="BG945" s="9"/>
      <x:c r="BH945" s="9"/>
      <x:c r="BI945" s="12" t="str">
        <x:v>No</x:v>
      </x:c>
      <x:c r="BJ945" s="12" t="str"/>
      <x:c r="BK945" s="12" t="str">
        <x:v>No</x:v>
      </x:c>
      <x:c r="BL945" s="12" t="str"/>
      <x:c r="BM945" s="12" t="str"/>
      <x:c r="BN945" s="12" t="str"/>
      <x:c r="BO945" s="12" t="str"/>
      <x:c r="BP945" s="12" t="str"/>
      <x:c r="BQ945" s="12" t="str"/>
    </x:row>
    <x:row r="946">
      <x:c r="A946" s="9" t="str">
        <x:v>pc-265</x:v>
      </x:c>
      <x:c r="B946" s="9" t="str">
        <x:v>the-gallery</x:v>
      </x:c>
      <x:c r="C946" s="9" t="str">
        <x:v>PC</x:v>
      </x:c>
      <x:c r="D946" s="9" t="str">
        <x:v>The Gallery</x:v>
      </x:c>
      <x:c r="E946" s="9" t="str"/>
      <x:c r="F946" s="9" t="str">
        <x:v>PRM Games</x:v>
      </x:c>
      <x:c r="G946" s="9" t="str">
        <x:v>PRM Games</x:v>
      </x:c>
      <x:c r="H946" s="9" t="n">
        <x:v>2022</x:v>
      </x:c>
      <x:c r="I946" s="9" t="str">
        <x:v>Yes</x:v>
      </x:c>
      <x:c r="J946" s="9" t="str">
        <x:v>Yes</x:v>
      </x:c>
      <x:c r="K946" s="9" t="str">
        <x:v>Yes</x:v>
      </x:c>
      <x:c r="L946" s="9" t="str">
        <x:v>No</x:v>
      </x:c>
      <x:c r="M946" s="9" t="str">
        <x:v>FMV hostage thriller</x:v>
      </x:c>
      <x:c r="N946" s="9" t="str">
        <x:v>Live-action</x:v>
      </x:c>
      <x:c r="O946" s="9" t="n">
        <x:v>10</x:v>
      </x:c>
      <x:c r="P946" s="9" t="str">
        <x:v>Interactive movie</x:v>
      </x:c>
      <x:c r="Q946" s="9" t="str">
        <x:v>Released</x:v>
      </x:c>
      <x:c r="R946" s="9" t="str">
        <x:v>Original production (UK)</x:v>
      </x:c>
      <x:c r="S946" s="9" t="str">
        <x:v>macOS; iOS (verify)</x:v>
      </x:c>
      <x:c r="T946" s="9" t="str">
        <x:v>Cast (names verify)</x:v>
      </x:c>
      <x:c r="U946" s="9" t="n">
        <x:v>0</x:v>
      </x:c>
      <x:c r="V946" s="9" t="str">
        <x:v>Yes</x:v>
      </x:c>
      <x:c r="W946" s="9" t="str">
        <x:v>Windows 10 (spec verify); also macOS</x:v>
      </x:c>
      <x:c r="X946" s="9" t="str">
        <x:v>Low</x:v>
      </x:c>
      <x:c r="Y946" s="9" t="str"/>
      <x:c r="Z946" s="9" t="str">
        <x:v>1.5 hr per timeline</x:v>
      </x:c>
      <x:c r="AA946" s="9" t="str">
        <x:v>One hostage drama told twice, in 1981 and 2021, with the same cast: PRM Games' debut before The Run.</x:v>
      </x:c>
      <x:c r="AB946" s="9" t="str">
        <x:v>None known</x:v>
      </x:c>
      <x:c r="AC946" s="9" t="str">
        <x:v>Two live-action hostage narratives, set in 1981 and 2021, with 150 decision paths and 18 endings.</x:v>
      </x:c>
      <x:c r="AD946" s="9" t="str">
        <x:v>Easy</x:v>
      </x:c>
      <x:c r="AE946" s="9" t="str">
        <x:v>Multiple</x:v>
      </x:c>
      <x:c r="AF946" s="9" t="str">
        <x:v>Shot in Britain under pandemic restrictions; Mixed on Steam.</x:v>
      </x:c>
      <x:c r="AG946" s="9" t="str">
        <x:v>Digital only</x:v>
      </x:c>
      <x:c r="AH946" s="9" t="str">
        <x:v>Yes (Steam)</x:v>
      </x:c>
      <x:c r="AI946" s="9" t="str">
        <x:v>Easy</x:v>
      </x:c>
      <x:c r="AJ946" s="9" t="str">
        <x:v>Steam (Windows): https://store.steampowered.com/app/1884570/</x:v>
      </x:c>
      <x:c r="AK946" s="9" t="str">
        <x:v>Steam 8 Sep 2022, $9.99; Mixed 69% of 176 (fmvgo, Sep 2026). Audit: Current Steam credits PRM Games; contemporary Sept 8 2022 publisher announcement credits Aviary Studios. Record launch credits and mention current rights. Sources: https://store.steampowered.com/app/1884570/ ; https://www.gamespress.com/uk-UA/Thrilling-FMVLive-Action-Game-and-Interactive-Film-Hybrid-The-Gallery-</x:v>
      </x:c>
      <x:c r="AL946" s="10"/>
      <x:c r="AM946" s="10"/>
      <x:c r="AN946" s="10"/>
      <x:c r="AO946" s="9"/>
      <x:c r="AP946" s="11" t="str">
        <x:f>HYPERLINK("https://www.pricecharting.com/search-products?q=The+Gallery+pc+games&amp;type=prices","PriceCharting")</x:f>
        <x:v>PriceCharting</x:v>
      </x:c>
      <x:c r="AQ946" s="9" t="n">
        <x:v>9.99</x:v>
      </x:c>
      <x:c r="AR946" s="11" t="str">
        <x:v>Steam</x:v>
      </x:c>
      <x:c r="AS946" s="9" t="str">
        <x:f>HYPERLINK("https://store.steampowered.com/app/1884570/","Store")</x:f>
        <x:v>Store</x:v>
      </x:c>
      <x:c r="AT946" s="9" t="str">
        <x:v>2026-10-25</x:v>
      </x:c>
      <x:c r="AU946" s="9"/>
      <x:c r="AV946" s="9"/>
      <x:c r="AW946" s="9"/>
      <x:c r="AX946" s="9"/>
      <x:c r="AY946" s="9"/>
      <x:c r="AZ946" s="9"/>
      <x:c r="BA946" s="11" t="str">
        <x:f>HYPERLINK("https://www.mobygames.com/search/?q=The+Gallery","MobyGames")</x:f>
        <x:v>MobyGames</x:v>
      </x:c>
      <x:c r="BB946" s="9" t="str"/>
      <x:c r="BC946" s="9" t="str"/>
      <x:c r="BD946" s="9"/>
      <x:c r="BE946" s="9"/>
      <x:c r="BF946" s="11" t="str">
        <x:f>HYPERLINK("https://backloggd.com/search/games/The%20Gallery/","Backloggd")</x:f>
        <x:v>Backloggd</x:v>
      </x:c>
      <x:c r="BG946" s="9"/>
      <x:c r="BH946" s="9"/>
      <x:c r="BI946" s="12" t="str">
        <x:v>No</x:v>
      </x:c>
      <x:c r="BJ946" s="12" t="str"/>
      <x:c r="BK946" s="12" t="str">
        <x:v>No</x:v>
      </x:c>
      <x:c r="BL946" s="12" t="str"/>
      <x:c r="BM946" s="12" t="str"/>
      <x:c r="BN946" s="12" t="str"/>
      <x:c r="BO946" s="12" t="str"/>
      <x:c r="BP946" s="12" t="str"/>
      <x:c r="BQ946" s="12" t="str"/>
    </x:row>
    <x:row r="947">
      <x:c r="A947" s="9" t="str">
        <x:v>pc-266</x:v>
      </x:c>
      <x:c r="B947" s="9" t="str">
        <x:v>motesolo-no-girlfriend-since-birth</x:v>
      </x:c>
      <x:c r="C947" s="9" t="str">
        <x:v>PC</x:v>
      </x:c>
      <x:c r="D947" s="9" t="str">
        <x:v>Motesolo: No Girlfriend Since Birth</x:v>
      </x:c>
      <x:c r="E947" s="9" t="str">
        <x:v>Motesolo : No Girlfriend Since Birth</x:v>
      </x:c>
      <x:c r="F947" s="9" t="str">
        <x:v>Indicava Interactive</x:v>
      </x:c>
      <x:c r="G947" s="9" t="str">
        <x:v>Indicava Interactive; CFK (consoles)</x:v>
      </x:c>
      <x:c r="H947" s="9" t="n">
        <x:v>2020</x:v>
      </x:c>
      <x:c r="I947" s="9" t="str">
        <x:v>Yes</x:v>
      </x:c>
      <x:c r="J947" s="9" t="str">
        <x:v>Yes</x:v>
      </x:c>
      <x:c r="K947" s="9" t="str">
        <x:v>Yes</x:v>
      </x:c>
      <x:c r="L947" s="9" t="str">
        <x:v>No</x:v>
      </x:c>
      <x:c r="M947" s="9" t="str">
        <x:v>Live-action dating sim</x:v>
      </x:c>
      <x:c r="N947" s="9" t="str">
        <x:v>Live-action</x:v>
      </x:c>
      <x:c r="O947" s="9" t="n">
        <x:v>10</x:v>
      </x:c>
      <x:c r="P947" s="9" t="str">
        <x:v>Interactive movie</x:v>
      </x:c>
      <x:c r="Q947" s="9" t="str">
        <x:v>Released</x:v>
      </x:c>
      <x:c r="R947" s="9" t="str">
        <x:v>Original production (South Korea)</x:v>
      </x:c>
      <x:c r="S947" s="9" t="str">
        <x:v>PS4 (Mar 2024), Switch (verify)</x:v>
      </x:c>
      <x:c r="T947" s="9" t="str">
        <x:v>Korean cast (names verify)</x:v>
      </x:c>
      <x:c r="U947" s="9" t="n">
        <x:v>0</x:v>
      </x:c>
      <x:c r="V947" s="9" t="str">
        <x:v>Yes</x:v>
      </x:c>
      <x:c r="W947" s="9" t="str">
        <x:v>Windows 10 (spec verify)</x:v>
      </x:c>
      <x:c r="X947" s="9" t="str">
        <x:v>Low</x:v>
      </x:c>
      <x:c r="Y947" s="9" t="str"/>
      <x:c r="Z947" s="9" t="str">
        <x:v>3–4 hr (verify)</x:v>
      </x:c>
      <x:c r="AA947" s="9" t="str">
        <x:v>A Korean FMV about a hopeless first date in a Seoul café, with a console release.</x:v>
      </x:c>
      <x:c r="AB947" s="9" t="str">
        <x:v>None known</x:v>
      </x:c>
      <x:c r="AC947" s="9" t="str">
        <x:v>Live-action conversation and choices during a Seoul blind date.</x:v>
      </x:c>
      <x:c r="AD947" s="9" t="str">
        <x:v>Easy</x:v>
      </x:c>
      <x:c r="AE947" s="9" t="str">
        <x:v>Multiple</x:v>
      </x:c>
      <x:c r="AF947" s="9" t="str">
        <x:v>Ported to PS4 by CFK in March 2024 (Gematsu).</x:v>
      </x:c>
      <x:c r="AG947" s="9" t="str">
        <x:v>Digital; PS4</x:v>
      </x:c>
      <x:c r="AH947" s="9" t="str">
        <x:v>Yes (Steam)</x:v>
      </x:c>
      <x:c r="AI947" s="9" t="str">
        <x:v>Easy</x:v>
      </x:c>
      <x:c r="AJ947" s="9" t="str">
        <x:v>Steam: https://store.steampowered.com/app/1414180/</x:v>
      </x:c>
      <x:c r="AK947" s="9" t="str">
        <x:v>Steam 9 Jun 2021, $11.49; Very Positive 86% of 1,100 (fmvgo, Sep 2026). Audit: Korean live-action blind-date interactive movie; released June9 2021 after Dec29 2020 Early Access. Steam currently sells it with English subtitles. Primary source: https://store.steampowered.com/app/1414180/ Year follows first paid Early Access release (29 Dec 2020); full release was 9 Jun 2021.</x:v>
      </x:c>
      <x:c r="AL947" s="10"/>
      <x:c r="AM947" s="10"/>
      <x:c r="AN947" s="10"/>
      <x:c r="AO947" s="9"/>
      <x:c r="AP947" s="11" t="str">
        <x:f>HYPERLINK("https://www.pricecharting.com/search-products?q=Motesolo%3A+No+Girlfriend+Since+Birth+pc+games&amp;type=prices","PriceCharting")</x:f>
        <x:v>PriceCharting</x:v>
      </x:c>
      <x:c r="AQ947" s="9" t="n">
        <x:v>11.49</x:v>
      </x:c>
      <x:c r="AR947" s="11" t="str">
        <x:v>Steam</x:v>
      </x:c>
      <x:c r="AS947" s="9" t="str">
        <x:f>HYPERLINK("https://store.steampowered.com/app/1414180/","Store")</x:f>
        <x:v>Store</x:v>
      </x:c>
      <x:c r="AT947" s="9" t="str">
        <x:v>2026-10-25</x:v>
      </x:c>
      <x:c r="AU947" s="9"/>
      <x:c r="AV947" s="9"/>
      <x:c r="AW947" s="9"/>
      <x:c r="AX947" s="9"/>
      <x:c r="AY947" s="9"/>
      <x:c r="AZ947" s="9"/>
      <x:c r="BA947" s="11" t="str">
        <x:f>HYPERLINK("https://www.mobygames.com/search/?q=Motesolo%3A+No+Girlfriend+Since+Birth","MobyGames")</x:f>
        <x:v>MobyGames</x:v>
      </x:c>
      <x:c r="BB947" s="9" t="str"/>
      <x:c r="BC947" s="9" t="str"/>
      <x:c r="BD947" s="9"/>
      <x:c r="BE947" s="9"/>
      <x:c r="BF947" s="11" t="str">
        <x:f>HYPERLINK("https://backloggd.com/search/games/Motesolo%3A%20No%20Girlfriend%20Since%20Birth/","Backloggd")</x:f>
        <x:v>Backloggd</x:v>
      </x:c>
      <x:c r="BG947" s="9"/>
      <x:c r="BH947" s="9"/>
      <x:c r="BI947" s="12" t="str">
        <x:v>No</x:v>
      </x:c>
      <x:c r="BJ947" s="12" t="str"/>
      <x:c r="BK947" s="12" t="str">
        <x:v>No</x:v>
      </x:c>
      <x:c r="BL947" s="12" t="str"/>
      <x:c r="BM947" s="12" t="str"/>
      <x:c r="BN947" s="12" t="str"/>
      <x:c r="BO947" s="12" t="str"/>
      <x:c r="BP947" s="12" t="str"/>
      <x:c r="BQ947" s="12" t="str"/>
    </x:row>
    <x:row r="948">
      <x:c r="A948" s="9" t="str">
        <x:v>pc-267</x:v>
      </x:c>
      <x:c r="B948" s="9" t="str">
        <x:v>jerma-and-otto-the-curse-of-the-late-streamer</x:v>
      </x:c>
      <x:c r="C948" s="9" t="str">
        <x:v>PC</x:v>
      </x:c>
      <x:c r="D948" s="9" t="str">
        <x:v>Jerma &amp; Otto: The Curse of the Late Streamer</x:v>
      </x:c>
      <x:c r="E948" s="9" t="str"/>
      <x:c r="F948" s="9" t="str">
        <x:v>William Enders</x:v>
      </x:c>
      <x:c r="G948" s="9" t="str">
        <x:v>Cool Computer Zone</x:v>
      </x:c>
      <x:c r="H948" s="9" t="n">
        <x:v>2021</x:v>
      </x:c>
      <x:c r="I948" s="9" t="str">
        <x:v>Yes</x:v>
      </x:c>
      <x:c r="J948" s="9" t="str">
        <x:v>Yes</x:v>
      </x:c>
      <x:c r="K948" s="9" t="str">
        <x:v>Yes</x:v>
      </x:c>
      <x:c r="L948" s="9" t="str">
        <x:v>No</x:v>
      </x:c>
      <x:c r="M948" s="9" t="str">
        <x:v>FMV point-and-click comedy</x:v>
      </x:c>
      <x:c r="N948" s="9" t="str">
        <x:v>Live-action</x:v>
      </x:c>
      <x:c r="O948" s="9" t="n">
        <x:v>8</x:v>
      </x:c>
      <x:c r="P948" s="9" t="str">
        <x:v>FMV adventure</x:v>
      </x:c>
      <x:c r="Q948" s="9" t="str">
        <x:v>Released</x:v>
      </x:c>
      <x:c r="R948" s="9" t="str">
        <x:v>Original production (USA)</x:v>
      </x:c>
      <x:c r="S948" s="9" t="str"/>
      <x:c r="T948" s="9" t="str">
        <x:v>Jerma985 (Jeremy Elbertson) as himself</x:v>
      </x:c>
      <x:c r="U948" s="9" t="n">
        <x:v>0</x:v>
      </x:c>
      <x:c r="V948" s="9" t="str">
        <x:v>Yes</x:v>
      </x:c>
      <x:c r="W948" s="9" t="str">
        <x:v>Windows (spec verify)</x:v>
      </x:c>
      <x:c r="X948" s="9" t="str">
        <x:v>Low</x:v>
      </x:c>
      <x:c r="Y948" s="9" t="str"/>
      <x:c r="Z948" s="9" t="str">
        <x:v>30–60 min</x:v>
      </x:c>
      <x:c r="AA948" s="9" t="str">
        <x:v>Help streamer Jerma985 get ready for a broadcast he is late for: a free fan-made FMV adventure that became a meme.</x:v>
      </x:c>
      <x:c r="AB948" s="9" t="str">
        <x:v>None known</x:v>
      </x:c>
      <x:c r="AC948" s="9" t="str">
        <x:v>Live-action video clips in a point-and-click frame</x:v>
      </x:c>
      <x:c r="AD948" s="9" t="str">
        <x:v>Easy</x:v>
      </x:c>
      <x:c r="AE948" s="9" t="str">
        <x:v>Multiple</x:v>
      </x:c>
      <x:c r="AF948" s="9" t="str">
        <x:v>Free on Steam; Overwhelmingly Positive from 548 reviews.</x:v>
      </x:c>
      <x:c r="AG948" s="9" t="str">
        <x:v>Free</x:v>
      </x:c>
      <x:c r="AH948" s="9" t="str">
        <x:v>Yes (Steam)</x:v>
      </x:c>
      <x:c r="AI948" s="9" t="str">
        <x:v>Easy</x:v>
      </x:c>
      <x:c r="AJ948" s="9" t="str">
        <x:v>Steam (free)</x:v>
      </x:c>
      <x:c r="AK948" s="9" t="str">
        <x:v>Steam 8 Oct 2021, free; Overwhelmingly Positive 96% of 548 (fmvgo, Sep 2026).</x:v>
      </x:c>
      <x:c r="AL948" s="10"/>
      <x:c r="AM948" s="10"/>
      <x:c r="AN948" s="10"/>
      <x:c r="AO948" s="9"/>
      <x:c r="AP948" s="11" t="str">
        <x:f>HYPERLINK("https://www.pricecharting.com/search-products?q=Jerma+%26+Otto%3A+The+Curse+of+the+Late+Streamer+pc+games&amp;type=prices","PriceCharting")</x:f>
        <x:v>PriceCharting</x:v>
      </x:c>
      <x:c r="AQ948" s="9" t="n">
        <x:v>0</x:v>
      </x:c>
      <x:c r="AR948" s="11" t="str">
        <x:v>Steam</x:v>
      </x:c>
      <x:c r="AS948" s="9" t="str">
        <x:f>HYPERLINK("https://store.steampowered.com/app/1669490/","Store")</x:f>
        <x:v>Store</x:v>
      </x:c>
      <x:c r="AT948" s="9" t="str">
        <x:v>2026-10-25</x:v>
      </x:c>
      <x:c r="AU948" s="9"/>
      <x:c r="AV948" s="9"/>
      <x:c r="AW948" s="9"/>
      <x:c r="AX948" s="9"/>
      <x:c r="AY948" s="9"/>
      <x:c r="AZ948" s="9"/>
      <x:c r="BA948" s="11" t="str">
        <x:f>HYPERLINK("https://www.mobygames.com/search/?q=Jerma+%26+Otto%3A+The+Curse+of+the+Late+Streamer","MobyGames")</x:f>
        <x:v>MobyGames</x:v>
      </x:c>
      <x:c r="BB948" s="9" t="str"/>
      <x:c r="BC948" s="9" t="str"/>
      <x:c r="BD948" s="9"/>
      <x:c r="BE948" s="9"/>
      <x:c r="BF948" s="11" t="str">
        <x:f>HYPERLINK("https://backloggd.com/search/games/Jerma%20%26%20Otto%3A%20The%20Curse%20of%20the%20Late%20Streamer/","Backloggd")</x:f>
        <x:v>Backloggd</x:v>
      </x:c>
      <x:c r="BG948" s="9"/>
      <x:c r="BH948" s="9"/>
      <x:c r="BI948" s="12" t="str">
        <x:v>No</x:v>
      </x:c>
      <x:c r="BJ948" s="12" t="str"/>
      <x:c r="BK948" s="12" t="str">
        <x:v>No</x:v>
      </x:c>
      <x:c r="BL948" s="12" t="str"/>
      <x:c r="BM948" s="12" t="str"/>
      <x:c r="BN948" s="12" t="str"/>
      <x:c r="BO948" s="12" t="str"/>
      <x:c r="BP948" s="12" t="str"/>
      <x:c r="BQ948" s="12" t="str"/>
    </x:row>
    <x:row r="949">
      <x:c r="A949" s="9" t="str">
        <x:v>pc-268</x:v>
      </x:c>
      <x:c r="B949" s="9" t="str">
        <x:v>svoboda-1945-liberation</x:v>
      </x:c>
      <x:c r="C949" s="9" t="str">
        <x:v>PC</x:v>
      </x:c>
      <x:c r="D949" s="9" t="str">
        <x:v>Svoboda 1945: Liberation</x:v>
      </x:c>
      <x:c r="E949" s="9" t="str"/>
      <x:c r="F949" s="9" t="str">
        <x:v>Charles Games</x:v>
      </x:c>
      <x:c r="G949" s="9" t="str">
        <x:v>Charles Games</x:v>
      </x:c>
      <x:c r="H949" s="9" t="n">
        <x:v>2021</x:v>
      </x:c>
      <x:c r="I949" s="9" t="str">
        <x:v>Yes</x:v>
      </x:c>
      <x:c r="J949" s="9" t="str">
        <x:v>Yes</x:v>
      </x:c>
      <x:c r="K949" s="9" t="str">
        <x:v>Yes</x:v>
      </x:c>
      <x:c r="L949" s="9" t="str">
        <x:v>No</x:v>
      </x:c>
      <x:c r="M949" s="9" t="str">
        <x:v>Live-action historical adventure</x:v>
      </x:c>
      <x:c r="N949" s="9" t="str">
        <x:v>Live-action</x:v>
      </x:c>
      <x:c r="O949" s="9" t="n">
        <x:v>7</x:v>
      </x:c>
      <x:c r="P949" s="9" t="str">
        <x:v>FMV adventure</x:v>
      </x:c>
      <x:c r="Q949" s="9" t="str">
        <x:v>Released</x:v>
      </x:c>
      <x:c r="R949" s="9" t="str">
        <x:v>Original production (Czech Republic), based on history</x:v>
      </x:c>
      <x:c r="S949" s="9" t="str">
        <x:v>macOS, Linux, iOS, Android (verify)</x:v>
      </x:c>
      <x:c r="T949" s="9" t="str">
        <x:v>Czech cast (names verify)</x:v>
      </x:c>
      <x:c r="U949" s="9" t="n">
        <x:v>0</x:v>
      </x:c>
      <x:c r="V949" s="9" t="str">
        <x:v>Yes</x:v>
      </x:c>
      <x:c r="W949" s="9" t="str">
        <x:v>Windows 10 (spec verify); also macOS, Linux</x:v>
      </x:c>
      <x:c r="X949" s="9" t="str">
        <x:v>Low</x:v>
      </x:c>
      <x:c r="Y949" s="9" t="str"/>
      <x:c r="Z949" s="9" t="str">
        <x:v>3–4 hr</x:v>
      </x:c>
      <x:c r="AA949" s="9" t="str">
        <x:v>Charles University's follow-up to Attentat 1942: interviews with filmed witnesses to the postwar expulsions.</x:v>
      </x:c>
      <x:c r="AB949" s="9" t="str">
        <x:v>None known</x:v>
      </x:c>
      <x:c r="AC949" s="9" t="str">
        <x:v>Filmed interviews drive the investigation, interspersed with interactive memories and historical materials.</x:v>
      </x:c>
      <x:c r="AD949" s="9" t="str">
        <x:v>Easy</x:v>
      </x:c>
      <x:c r="AE949" s="9" t="str">
        <x:v>One, with variations</x:v>
      </x:c>
      <x:c r="AF949" s="9" t="str">
        <x:v>Sequel to Attentat 1942; 98% positive on Steam.</x:v>
      </x:c>
      <x:c r="AG949" s="9" t="str">
        <x:v>Digital only</x:v>
      </x:c>
      <x:c r="AH949" s="9" t="str">
        <x:v>Yes (Steam)</x:v>
      </x:c>
      <x:c r="AI949" s="9" t="str">
        <x:v>Easy</x:v>
      </x:c>
      <x:c r="AJ949" s="9" t="str">
        <x:v>Steam: https://store.steampowered.com/app/1076620/Svoboda_1945/</x:v>
      </x:c>
      <x:c r="AK949" s="9" t="str">
        <x:v>Steam 3 Aug 2021, $15.99; Very Positive 98% of 193 (fmvgo, Sep 2026). Audit: Primary store explicitly describes full-motion video interviews with real actors plus interactive memories and historical material. August3 2021; Windows/Mac/Linux Steam current purchase. English subtitles. Primary source: https://store.steampowered.com/app/1076620/Svoboda_1945/ Current developer platform list: https://www.charlesgames.net/games</x:v>
      </x:c>
      <x:c r="AL949" s="10"/>
      <x:c r="AM949" s="10"/>
      <x:c r="AN949" s="10"/>
      <x:c r="AO949" s="9"/>
      <x:c r="AP949" s="11" t="str">
        <x:f>HYPERLINK("https://www.pricecharting.com/search-products?q=Svoboda+1945%3A+Liberation+pc+games&amp;type=prices","PriceCharting")</x:f>
        <x:v>PriceCharting</x:v>
      </x:c>
      <x:c r="AQ949" s="9" t="n">
        <x:v>15.99</x:v>
      </x:c>
      <x:c r="AR949" s="11" t="str">
        <x:v>Steam</x:v>
      </x:c>
      <x:c r="AS949" s="9" t="str">
        <x:f>HYPERLINK("https://store.steampowered.com/app/1076620/","Store")</x:f>
        <x:v>Store</x:v>
      </x:c>
      <x:c r="AT949" s="9" t="str">
        <x:v>2026-10-25</x:v>
      </x:c>
      <x:c r="AU949" s="9"/>
      <x:c r="AV949" s="9"/>
      <x:c r="AW949" s="9"/>
      <x:c r="AX949" s="9"/>
      <x:c r="AY949" s="9"/>
      <x:c r="AZ949" s="9"/>
      <x:c r="BA949" s="11" t="str">
        <x:f>HYPERLINK("https://www.mobygames.com/search/?q=Svoboda+1945%3A+Liberation","MobyGames")</x:f>
        <x:v>MobyGames</x:v>
      </x:c>
      <x:c r="BB949" s="9" t="str"/>
      <x:c r="BC949" s="9" t="str"/>
      <x:c r="BD949" s="9"/>
      <x:c r="BE949" s="11" t="str">
        <x:f>HYPERLINK("https://en.wikipedia.org/wiki/Svoboda_1945:_Liberation","Wikipedia")</x:f>
        <x:v>Wikipedia</x:v>
      </x:c>
      <x:c r="BF949" s="11" t="str">
        <x:f>HYPERLINK("https://backloggd.com/search/games/Svoboda%201945%3A%20Liberation/","Backloggd")</x:f>
        <x:v>Backloggd</x:v>
      </x:c>
      <x:c r="BG949" s="9"/>
      <x:c r="BH949" s="9"/>
      <x:c r="BI949" s="12" t="str">
        <x:v>No</x:v>
      </x:c>
      <x:c r="BJ949" s="12" t="str"/>
      <x:c r="BK949" s="12" t="str">
        <x:v>No</x:v>
      </x:c>
      <x:c r="BL949" s="12" t="str"/>
      <x:c r="BM949" s="12" t="str"/>
      <x:c r="BN949" s="12" t="str"/>
      <x:c r="BO949" s="12" t="str"/>
      <x:c r="BP949" s="12" t="str"/>
      <x:c r="BQ949" s="12" t="str"/>
    </x:row>
    <x:row r="950">
      <x:c r="A950" s="9" t="str">
        <x:v>pc-269</x:v>
      </x:c>
      <x:c r="B950" s="9" t="str">
        <x:v>next-space-rebels</x:v>
      </x:c>
      <x:c r="C950" s="9" t="str">
        <x:v>PC</x:v>
      </x:c>
      <x:c r="D950" s="9" t="str">
        <x:v>Next Space Rebels</x:v>
      </x:c>
      <x:c r="E950" s="9" t="str"/>
      <x:c r="F950" s="9" t="str">
        <x:v>Studio Floris Kaayk</x:v>
      </x:c>
      <x:c r="G950" s="9" t="str">
        <x:v>Balor Games</x:v>
      </x:c>
      <x:c r="H950" s="9" t="n">
        <x:v>2021</x:v>
      </x:c>
      <x:c r="I950" s="9" t="str">
        <x:v>Yes</x:v>
      </x:c>
      <x:c r="J950" s="9" t="str">
        <x:v>Yes</x:v>
      </x:c>
      <x:c r="K950" s="9" t="str">
        <x:v>Yes</x:v>
      </x:c>
      <x:c r="L950" s="9" t="str">
        <x:v>No</x:v>
      </x:c>
      <x:c r="M950" s="9" t="str">
        <x:v>Rocket-building sim with live-action video</x:v>
      </x:c>
      <x:c r="N950" s="9" t="str">
        <x:v>Live-action</x:v>
      </x:c>
      <x:c r="O950" s="9" t="n">
        <x:v>6</x:v>
      </x:c>
      <x:c r="P950" s="9" t="str">
        <x:v>FMV adventure</x:v>
      </x:c>
      <x:c r="Q950" s="9" t="str">
        <x:v>Released</x:v>
      </x:c>
      <x:c r="R950" s="9" t="str">
        <x:v>Original production (Netherlands)</x:v>
      </x:c>
      <x:c r="S950" s="9" t="str">
        <x:v>macOS</x:v>
      </x:c>
      <x:c r="T950" s="9" t="str">
        <x:v>Dutch cast (names verify)</x:v>
      </x:c>
      <x:c r="U950" s="9" t="n">
        <x:v>0</x:v>
      </x:c>
      <x:c r="V950" s="9" t="str">
        <x:v>Yes</x:v>
      </x:c>
      <x:c r="W950" s="9" t="str">
        <x:v>Windows 10 (spec verify); also macOS</x:v>
      </x:c>
      <x:c r="X950" s="9" t="str">
        <x:v>Low</x:v>
      </x:c>
      <x:c r="Y950" s="9" t="str"/>
      <x:c r="Z950" s="9" t="str">
        <x:v>6–8 hr</x:v>
      </x:c>
      <x:c r="AA950" s="9" t="str">
        <x:v>A Kerbal-style rocket sim wrapped in a live-action YouTube drama about amateur space activists, by artist Floris Kaayk.</x:v>
      </x:c>
      <x:c r="AB950" s="9" t="str">
        <x:v>None known</x:v>
      </x:c>
      <x:c r="AC950" s="9" t="str">
        <x:v>Live-action video messages and vlogs drive the story between building sessions</x:v>
      </x:c>
      <x:c r="AD950" s="9" t="str">
        <x:v>Moderate; physics building</x:v>
      </x:c>
      <x:c r="AE950" s="9" t="str">
        <x:v>Multiple</x:v>
      </x:c>
      <x:c r="AF950" s="9" t="str">
        <x:v>From the maker of the viral 'Human Birdwings' hoax videos.</x:v>
      </x:c>
      <x:c r="AG950" s="9" t="str">
        <x:v>Digital only</x:v>
      </x:c>
      <x:c r="AH950" s="9" t="str">
        <x:v>Yes (Steam)</x:v>
      </x:c>
      <x:c r="AI950" s="9" t="str">
        <x:v>Easy</x:v>
      </x:c>
      <x:c r="AJ950" s="9" t="str">
        <x:v>Steam (Windows/Mac)</x:v>
      </x:c>
      <x:c r="AK950" s="9" t="str">
        <x:v>Steam 17 Nov 2021, $5.99; Very Positive 85% of 365 (fmvgo, Sep 2026).</x:v>
      </x:c>
      <x:c r="AL950" s="10"/>
      <x:c r="AM950" s="10"/>
      <x:c r="AN950" s="10"/>
      <x:c r="AO950" s="9"/>
      <x:c r="AP950" s="11" t="str">
        <x:f>HYPERLINK("https://www.pricecharting.com/search-products?q=Next+Space+Rebels+pc+games&amp;type=prices","PriceCharting")</x:f>
        <x:v>PriceCharting</x:v>
      </x:c>
      <x:c r="AQ950" s="9" t="n">
        <x:v>5.99</x:v>
      </x:c>
      <x:c r="AR950" s="11" t="str">
        <x:v>Steam</x:v>
      </x:c>
      <x:c r="AS950" s="9" t="str">
        <x:f>HYPERLINK("https://store.steampowered.com/app/1422430/","Store")</x:f>
        <x:v>Store</x:v>
      </x:c>
      <x:c r="AT950" s="9" t="str">
        <x:v>2026-10-25</x:v>
      </x:c>
      <x:c r="AU950" s="9"/>
      <x:c r="AV950" s="9"/>
      <x:c r="AW950" s="9"/>
      <x:c r="AX950" s="9"/>
      <x:c r="AY950" s="9"/>
      <x:c r="AZ950" s="9"/>
      <x:c r="BA950" s="11" t="str">
        <x:f>HYPERLINK("https://www.mobygames.com/search/?q=Next+Space+Rebels","MobyGames")</x:f>
        <x:v>MobyGames</x:v>
      </x:c>
      <x:c r="BB950" s="9" t="str"/>
      <x:c r="BC950" s="9" t="str"/>
      <x:c r="BD950" s="9"/>
      <x:c r="BE950" s="9"/>
      <x:c r="BF950" s="11" t="str">
        <x:f>HYPERLINK("https://backloggd.com/search/games/Next%20Space%20Rebels/","Backloggd")</x:f>
        <x:v>Backloggd</x:v>
      </x:c>
      <x:c r="BG950" s="9"/>
      <x:c r="BH950" s="9"/>
      <x:c r="BI950" s="12" t="str">
        <x:v>No</x:v>
      </x:c>
      <x:c r="BJ950" s="12" t="str"/>
      <x:c r="BK950" s="12" t="str">
        <x:v>No</x:v>
      </x:c>
      <x:c r="BL950" s="12" t="str"/>
      <x:c r="BM950" s="12" t="str"/>
      <x:c r="BN950" s="12" t="str"/>
      <x:c r="BO950" s="12" t="str"/>
      <x:c r="BP950" s="12" t="str"/>
      <x:c r="BQ950" s="12" t="str"/>
    </x:row>
    <x:row r="951">
      <x:c r="A951" s="9" t="str">
        <x:v>pc-270</x:v>
      </x:c>
      <x:c r="B951" s="9" t="str">
        <x:v>the-solitaire-conspiracy</x:v>
      </x:c>
      <x:c r="C951" s="9" t="str">
        <x:v>PC</x:v>
      </x:c>
      <x:c r="D951" s="9" t="str">
        <x:v>The Solitaire Conspiracy</x:v>
      </x:c>
      <x:c r="E951" s="9" t="str"/>
      <x:c r="F951" s="9" t="str">
        <x:v>Bithell Games</x:v>
      </x:c>
      <x:c r="G951" s="9" t="str">
        <x:v>Bithell Games</x:v>
      </x:c>
      <x:c r="H951" s="9" t="n">
        <x:v>2020</x:v>
      </x:c>
      <x:c r="I951" s="9" t="str">
        <x:v>Yes</x:v>
      </x:c>
      <x:c r="J951" s="9" t="str">
        <x:v>Yes</x:v>
      </x:c>
      <x:c r="K951" s="9" t="str">
        <x:v>Yes</x:v>
      </x:c>
      <x:c r="L951" s="9" t="str">
        <x:v>No</x:v>
      </x:c>
      <x:c r="M951" s="9" t="str">
        <x:v>Solitaire with live-action story</x:v>
      </x:c>
      <x:c r="N951" s="9" t="str">
        <x:v>Live-action</x:v>
      </x:c>
      <x:c r="O951" s="9" t="n">
        <x:v>5</x:v>
      </x:c>
      <x:c r="P951" s="9" t="str">
        <x:v>FMV adventure</x:v>
      </x:c>
      <x:c r="Q951" s="9" t="str">
        <x:v>Released</x:v>
      </x:c>
      <x:c r="R951" s="9" t="str">
        <x:v>Original production (UK)</x:v>
      </x:c>
      <x:c r="S951" s="9" t="str">
        <x:v>macOS; Switch, PS4, Xbox One (verify)</x:v>
      </x:c>
      <x:c r="T951" s="9" t="str">
        <x:v>Greg Miller (Jim Ratio), Inel Tomlinson (verify)</x:v>
      </x:c>
      <x:c r="U951" s="9" t="n">
        <x:v>0</x:v>
      </x:c>
      <x:c r="V951" s="9" t="str">
        <x:v>Yes</x:v>
      </x:c>
      <x:c r="W951" s="9" t="str">
        <x:v>Windows 10 (spec verify); also macOS</x:v>
      </x:c>
      <x:c r="X951" s="9" t="str">
        <x:v>Low</x:v>
      </x:c>
      <x:c r="Y951" s="9" t="str"/>
      <x:c r="Z951" s="9" t="str">
        <x:v>3–4 hr</x:v>
      </x:c>
      <x:c r="AA951" s="9" t="str">
        <x:v>Mike Bithell's spy-themed solitaire, briefed by live-action handlers between hands.</x:v>
      </x:c>
      <x:c r="AB951" s="9" t="str">
        <x:v>None known</x:v>
      </x:c>
      <x:c r="AC951" s="9" t="str">
        <x:v>Live-action briefing scenes between card puzzles</x:v>
      </x:c>
      <x:c r="AD951" s="9" t="str">
        <x:v>Easy–moderate</x:v>
      </x:c>
      <x:c r="AE951" s="9" t="str">
        <x:v>One</x:v>
      </x:c>
      <x:c r="AF951" s="9" t="str">
        <x:v>Made remotely during the 2020 lockdown; Bithell's John Wick Hex follow-up.</x:v>
      </x:c>
      <x:c r="AG951" s="9" t="str">
        <x:v>Digital; console ports</x:v>
      </x:c>
      <x:c r="AH951" s="9" t="str">
        <x:v>Yes (Steam; Switch, PS4, Xbox One verify)</x:v>
      </x:c>
      <x:c r="AI951" s="9" t="str">
        <x:v>Easy</x:v>
      </x:c>
      <x:c r="AJ951" s="9" t="str">
        <x:v>Steam (Windows/Mac), consoles</x:v>
      </x:c>
      <x:c r="AK951" s="9" t="str">
        <x:v>Steam 6 Oct 2020, $11.99; 89% of 770 (fmvgo, Sep 2026).</x:v>
      </x:c>
      <x:c r="AL951" s="10"/>
      <x:c r="AM951" s="10"/>
      <x:c r="AN951" s="10"/>
      <x:c r="AO951" s="9"/>
      <x:c r="AP951" s="11" t="str">
        <x:f>HYPERLINK("https://www.pricecharting.com/search-products?q=The+Solitaire+Conspiracy+pc+games&amp;type=prices","PriceCharting")</x:f>
        <x:v>PriceCharting</x:v>
      </x:c>
      <x:c r="AQ951" s="9" t="n">
        <x:v>11.99</x:v>
      </x:c>
      <x:c r="AR951" s="11" t="str">
        <x:v>Steam</x:v>
      </x:c>
      <x:c r="AS951" s="9" t="str">
        <x:f>HYPERLINK("https://store.steampowered.com/app/1424980/","Store")</x:f>
        <x:v>Store</x:v>
      </x:c>
      <x:c r="AT951" s="9" t="str">
        <x:v>2026-10-25</x:v>
      </x:c>
      <x:c r="AU951" s="9"/>
      <x:c r="AV951" s="9"/>
      <x:c r="AW951" s="9"/>
      <x:c r="AX951" s="9"/>
      <x:c r="AY951" s="9"/>
      <x:c r="AZ951" s="9"/>
      <x:c r="BA951" s="11" t="str">
        <x:f>HYPERLINK("https://www.mobygames.com/search/?q=The+Solitaire+Conspiracy","MobyGames")</x:f>
        <x:v>MobyGames</x:v>
      </x:c>
      <x:c r="BB951" s="9" t="str"/>
      <x:c r="BC951" s="9" t="str"/>
      <x:c r="BD951" s="9"/>
      <x:c r="BE951" s="11" t="str">
        <x:f>HYPERLINK("https://en.wikipedia.org/wiki/The_Solitaire_Conspiracy","Wikipedia")</x:f>
        <x:v>Wikipedia</x:v>
      </x:c>
      <x:c r="BF951" s="11" t="str">
        <x:f>HYPERLINK("https://backloggd.com/search/games/The%20Solitaire%20Conspiracy/","Backloggd")</x:f>
        <x:v>Backloggd</x:v>
      </x:c>
      <x:c r="BG951" s="9"/>
      <x:c r="BH951" s="9"/>
      <x:c r="BI951" s="12" t="str">
        <x:v>No</x:v>
      </x:c>
      <x:c r="BJ951" s="12" t="str"/>
      <x:c r="BK951" s="12" t="str">
        <x:v>No</x:v>
      </x:c>
      <x:c r="BL951" s="12" t="str"/>
      <x:c r="BM951" s="12" t="str"/>
      <x:c r="BN951" s="12" t="str"/>
      <x:c r="BO951" s="12" t="str"/>
      <x:c r="BP951" s="12" t="str"/>
      <x:c r="BQ951" s="12" t="str"/>
    </x:row>
    <x:row r="952">
      <x:c r="A952" s="9" t="str">
        <x:v>pc-271</x:v>
      </x:c>
      <x:c r="B952" s="9" t="str">
        <x:v>whiteboyz-wit-attitude-the-pursuit-of-money</x:v>
      </x:c>
      <x:c r="C952" s="9" t="str">
        <x:v>PC</x:v>
      </x:c>
      <x:c r="D952" s="9" t="str">
        <x:v>Whiteboyz Wit Attitude: The Pursuit of Money</x:v>
      </x:c>
      <x:c r="E952" s="9" t="str"/>
      <x:c r="F952" s="9" t="str">
        <x:v>MichaelArts</x:v>
      </x:c>
      <x:c r="G952" s="9" t="str">
        <x:v>MichaelArts</x:v>
      </x:c>
      <x:c r="H952" s="9" t="n">
        <x:v>2020</x:v>
      </x:c>
      <x:c r="I952" s="9" t="str">
        <x:v>Yes</x:v>
      </x:c>
      <x:c r="J952" s="9" t="str">
        <x:v>Yes</x:v>
      </x:c>
      <x:c r="K952" s="9" t="str">
        <x:v>Yes</x:v>
      </x:c>
      <x:c r="L952" s="9" t="str">
        <x:v>No</x:v>
      </x:c>
      <x:c r="M952" s="9" t="str">
        <x:v>Live-action rhythm game</x:v>
      </x:c>
      <x:c r="N952" s="9" t="str">
        <x:v>Live-action</x:v>
      </x:c>
      <x:c r="O952" s="9" t="n">
        <x:v>9</x:v>
      </x:c>
      <x:c r="P952" s="9" t="str">
        <x:v>Interactive movie</x:v>
      </x:c>
      <x:c r="Q952" s="9" t="str">
        <x:v>Released</x:v>
      </x:c>
      <x:c r="R952" s="9" t="str">
        <x:v>Original production (USA)</x:v>
      </x:c>
      <x:c r="S952" s="9" t="str"/>
      <x:c r="T952" s="9" t="str">
        <x:v>Michael Reeves and friends (verify)</x:v>
      </x:c>
      <x:c r="U952" s="9" t="n">
        <x:v>0</x:v>
      </x:c>
      <x:c r="V952" s="9" t="str">
        <x:v>Yes</x:v>
      </x:c>
      <x:c r="W952" s="9" t="str">
        <x:v>Windows (spec verify)</x:v>
      </x:c>
      <x:c r="X952" s="9" t="str">
        <x:v>Low</x:v>
      </x:c>
      <x:c r="Y952" s="9" t="str"/>
      <x:c r="Z952" s="9" t="str">
        <x:v>30 min</x:v>
      </x:c>
      <x:c r="AA952" s="9" t="str">
        <x:v>A free live-action rhythm game about a fake boy band's album launch, played for laughs and remembered as a cult oddity.</x:v>
      </x:c>
      <x:c r="AB952" s="9" t="str">
        <x:v>None known</x:v>
      </x:c>
      <x:c r="AC952" s="9" t="str">
        <x:v>Live-action dance videos with rhythm prompts</x:v>
      </x:c>
      <x:c r="AD952" s="9" t="str">
        <x:v>Easy</x:v>
      </x:c>
      <x:c r="AE952" s="9" t="str">
        <x:v>One</x:v>
      </x:c>
      <x:c r="AF952" s="9" t="str">
        <x:v>Free; Very Positive from 516 reviews.</x:v>
      </x:c>
      <x:c r="AG952" s="9" t="str">
        <x:v>Free</x:v>
      </x:c>
      <x:c r="AH952" s="9" t="str">
        <x:v>Yes (Steam)</x:v>
      </x:c>
      <x:c r="AI952" s="9" t="str">
        <x:v>Easy</x:v>
      </x:c>
      <x:c r="AJ952" s="9" t="str">
        <x:v>Steam (free)</x:v>
      </x:c>
      <x:c r="AK952" s="9" t="str">
        <x:v>Steam 9 Oct 2020, free; Very Positive 94% of 516 (fmvgo, Sep 2026).</x:v>
      </x:c>
      <x:c r="AL952" s="10"/>
      <x:c r="AM952" s="10"/>
      <x:c r="AN952" s="10"/>
      <x:c r="AO952" s="9"/>
      <x:c r="AP952" s="11" t="str">
        <x:f>HYPERLINK("https://www.pricecharting.com/search-products?q=Whiteboyz+Wit+Attitude%3A+The+Pursuit+of+Money+pc+games&amp;type=prices","PriceCharting")</x:f>
        <x:v>PriceCharting</x:v>
      </x:c>
      <x:c r="AQ952" s="9" t="n">
        <x:v>0</x:v>
      </x:c>
      <x:c r="AR952" s="11" t="str">
        <x:v>Steam</x:v>
      </x:c>
      <x:c r="AS952" s="9" t="str">
        <x:f>HYPERLINK("https://store.steampowered.com/app/1411670/","Store")</x:f>
        <x:v>Store</x:v>
      </x:c>
      <x:c r="AT952" s="9" t="str">
        <x:v>2026-10-25</x:v>
      </x:c>
      <x:c r="AU952" s="9"/>
      <x:c r="AV952" s="9"/>
      <x:c r="AW952" s="9"/>
      <x:c r="AX952" s="9"/>
      <x:c r="AY952" s="9"/>
      <x:c r="AZ952" s="9"/>
      <x:c r="BA952" s="11" t="str">
        <x:f>HYPERLINK("https://www.mobygames.com/search/?q=Whiteboyz+Wit+Attitude%3A+The+Pursuit+of+Money","MobyGames")</x:f>
        <x:v>MobyGames</x:v>
      </x:c>
      <x:c r="BB952" s="9" t="str"/>
      <x:c r="BC952" s="9" t="str"/>
      <x:c r="BD952" s="9"/>
      <x:c r="BE952" s="9"/>
      <x:c r="BF952" s="11" t="str">
        <x:f>HYPERLINK("https://backloggd.com/search/games/Whiteboyz%20Wit%20Attitude%3A%20The%20Pursuit%20of%20Money/","Backloggd")</x:f>
        <x:v>Backloggd</x:v>
      </x:c>
      <x:c r="BG952" s="9"/>
      <x:c r="BH952" s="9"/>
      <x:c r="BI952" s="12" t="str">
        <x:v>No</x:v>
      </x:c>
      <x:c r="BJ952" s="12" t="str"/>
      <x:c r="BK952" s="12" t="str">
        <x:v>No</x:v>
      </x:c>
      <x:c r="BL952" s="12" t="str"/>
      <x:c r="BM952" s="12" t="str"/>
      <x:c r="BN952" s="12" t="str"/>
      <x:c r="BO952" s="12" t="str"/>
      <x:c r="BP952" s="12" t="str"/>
      <x:c r="BQ952" s="12" t="str"/>
    </x:row>
    <x:row r="953">
      <x:c r="A953" s="9" t="str">
        <x:v>pc-272</x:v>
      </x:c>
      <x:c r="B953" s="9" t="str">
        <x:v>she-sees-red</x:v>
      </x:c>
      <x:c r="C953" s="9" t="str">
        <x:v>PC</x:v>
      </x:c>
      <x:c r="D953" s="9" t="str">
        <x:v>She Sees Red</x:v>
      </x:c>
      <x:c r="E953" s="9" t="str">
        <x:v>She Sees Red - Interactive Movie</x:v>
      </x:c>
      <x:c r="F953" s="9" t="str">
        <x:v>Rhinotales</x:v>
      </x:c>
      <x:c r="G953" s="9" t="str">
        <x:v>Rhinotales</x:v>
      </x:c>
      <x:c r="H953" s="9" t="n">
        <x:v>2019</x:v>
      </x:c>
      <x:c r="I953" s="9" t="str">
        <x:v>Yes</x:v>
      </x:c>
      <x:c r="J953" s="9" t="str">
        <x:v>Yes</x:v>
      </x:c>
      <x:c r="K953" s="9" t="str">
        <x:v>Yes</x:v>
      </x:c>
      <x:c r="L953" s="9" t="str">
        <x:v>No</x:v>
      </x:c>
      <x:c r="M953" s="9" t="str">
        <x:v>FMV crime thriller</x:v>
      </x:c>
      <x:c r="N953" s="9" t="str">
        <x:v>Live-action</x:v>
      </x:c>
      <x:c r="O953" s="9" t="n">
        <x:v>10</x:v>
      </x:c>
      <x:c r="P953" s="9" t="str">
        <x:v>Interactive movie</x:v>
      </x:c>
      <x:c r="Q953" s="9" t="str">
        <x:v>Released</x:v>
      </x:c>
      <x:c r="R953" s="9" t="str">
        <x:v>Original production (Russia)</x:v>
      </x:c>
      <x:c r="S953" s="9" t="str">
        <x:v>iOS, Android, Switch, PS4, Xbox One (2019–2020, verify); macOS</x:v>
      </x:c>
      <x:c r="T953" s="9" t="str">
        <x:v>Russian cast (names verify)</x:v>
      </x:c>
      <x:c r="U953" s="9" t="n">
        <x:v>0</x:v>
      </x:c>
      <x:c r="V953" s="9" t="str">
        <x:v>Yes</x:v>
      </x:c>
      <x:c r="W953" s="9" t="str">
        <x:v>Windows 7 64-bit, 2 GB RAM, DirectX 11, 3 GB; also macOS</x:v>
      </x:c>
      <x:c r="X953" s="9" t="str">
        <x:v>Low</x:v>
      </x:c>
      <x:c r="Y953" s="9" t="str"/>
      <x:c r="Z953" s="9" t="str">
        <x:v>About 1 hr per run</x:v>
      </x:c>
      <x:c r="AA953" s="9" t="str">
        <x:v>A Russian nightclub murder told from both the killer's and the detective's side, with an English dub and console ports.</x:v>
      </x:c>
      <x:c r="AB953" s="9" t="str">
        <x:v>None known</x:v>
      </x:c>
      <x:c r="AC953" s="9" t="str">
        <x:v>A branching live-action Russian crime thriller with four endings and an optional English dub.</x:v>
      </x:c>
      <x:c r="AD953" s="9" t="str">
        <x:v>Easy</x:v>
      </x:c>
      <x:c r="AE953" s="9" t="str">
        <x:v>4</x:v>
      </x:c>
      <x:c r="AF953" s="9" t="str">
        <x:v>Metacritic 45 (PC); Polygon: 'gory, sweary, and even a tiny bit nude-y'. Partial nudity noted by the developer.</x:v>
      </x:c>
      <x:c r="AG953" s="9" t="str">
        <x:v>Digital; console and mobile ports</x:v>
      </x:c>
      <x:c r="AH953" s="9" t="str">
        <x:v>Yes (Steam)</x:v>
      </x:c>
      <x:c r="AI953" s="9" t="str">
        <x:v>Easy</x:v>
      </x:c>
      <x:c r="AJ953" s="9" t="str">
        <x:v>Steam (Windows): https://store.steampowered.com/app/1081510/</x:v>
      </x:c>
      <x:c r="AK953" s="9" t="str">
        <x:v>Steam 11 Jul 2019, $7.99; Mostly Positive 76% of 460 English reviews (Oct 2026). Audit: Original Russian audio or English dub; mature crime violence and partial nudity, not an adult video product. Sources: https://store.steampowered.com/app/1081510/ ; https://rhinotales.com/</x:v>
      </x:c>
      <x:c r="AL953" s="10"/>
      <x:c r="AM953" s="10"/>
      <x:c r="AN953" s="10"/>
      <x:c r="AO953" s="9"/>
      <x:c r="AP953" s="11" t="str">
        <x:f>HYPERLINK("https://www.pricecharting.com/search-products?q=She+Sees+Red+pc+games&amp;type=prices","PriceCharting")</x:f>
        <x:v>PriceCharting</x:v>
      </x:c>
      <x:c r="AQ953" s="9" t="n">
        <x:v>7.99</x:v>
      </x:c>
      <x:c r="AR953" s="11" t="str">
        <x:v>Steam</x:v>
      </x:c>
      <x:c r="AS953" s="9" t="str">
        <x:f>HYPERLINK("https://store.steampowered.com/app/1081510/","Store")</x:f>
        <x:v>Store</x:v>
      </x:c>
      <x:c r="AT953" s="9" t="str">
        <x:v>2026-10-25</x:v>
      </x:c>
      <x:c r="AU953" s="9"/>
      <x:c r="AV953" s="9"/>
      <x:c r="AW953" s="9"/>
      <x:c r="AX953" s="9"/>
      <x:c r="AY953" s="9"/>
      <x:c r="AZ953" s="9"/>
      <x:c r="BA953" s="11" t="str">
        <x:f>HYPERLINK("https://www.mobygames.com/search/?q=She+Sees+Red","MobyGames")</x:f>
        <x:v>MobyGames</x:v>
      </x:c>
      <x:c r="BB953" s="9" t="str">
        <x:v>45%</x:v>
      </x:c>
      <x:c r="BC953" s="9" t="str">
        <x:v>Metacritic (PC)</x:v>
      </x:c>
      <x:c r="BD953" s="9" t="str">
        <x:f>HYPERLINK("https://www.metacritic.com/game/she-sees-red/","Source")</x:f>
        <x:v>Source</x:v>
      </x:c>
      <x:c r="BE953" s="9"/>
      <x:c r="BF953" s="11" t="str">
        <x:f>HYPERLINK("https://backloggd.com/search/games/She%20Sees%20Red/","Backloggd")</x:f>
        <x:v>Backloggd</x:v>
      </x:c>
      <x:c r="BG953" s="9"/>
      <x:c r="BH953" s="9"/>
      <x:c r="BI953" s="12" t="str">
        <x:v>No</x:v>
      </x:c>
      <x:c r="BJ953" s="12" t="str"/>
      <x:c r="BK953" s="12" t="str">
        <x:v>No</x:v>
      </x:c>
      <x:c r="BL953" s="12" t="str"/>
      <x:c r="BM953" s="12" t="str"/>
      <x:c r="BN953" s="12" t="str"/>
      <x:c r="BO953" s="12" t="str"/>
      <x:c r="BP953" s="12" t="str"/>
      <x:c r="BQ953" s="12" t="str"/>
    </x:row>
    <x:row r="954">
      <x:c r="A954" s="9" t="str">
        <x:v>pc-273</x:v>
      </x:c>
      <x:c r="B954" s="9" t="str">
        <x:v>attentat-1942</x:v>
      </x:c>
      <x:c r="C954" s="9" t="str">
        <x:v>PC</x:v>
      </x:c>
      <x:c r="D954" s="9" t="str">
        <x:v>Attentat 1942</x:v>
      </x:c>
      <x:c r="E954" s="9" t="str"/>
      <x:c r="F954" s="9" t="str">
        <x:v>Charles Games (Charles University; Czech Academy of Sciences)</x:v>
      </x:c>
      <x:c r="G954" s="9" t="str">
        <x:v>Charles Games</x:v>
      </x:c>
      <x:c r="H954" s="9" t="n">
        <x:v>2017</x:v>
      </x:c>
      <x:c r="I954" s="9" t="str">
        <x:v>Yes</x:v>
      </x:c>
      <x:c r="J954" s="9" t="str">
        <x:v>Yes</x:v>
      </x:c>
      <x:c r="K954" s="9" t="str">
        <x:v>Yes</x:v>
      </x:c>
      <x:c r="L954" s="9" t="str">
        <x:v>No</x:v>
      </x:c>
      <x:c r="M954" s="9" t="str">
        <x:v>Live-action historical adventure</x:v>
      </x:c>
      <x:c r="N954" s="9" t="str">
        <x:v>Live-action</x:v>
      </x:c>
      <x:c r="O954" s="9" t="n">
        <x:v>7</x:v>
      </x:c>
      <x:c r="P954" s="9" t="str">
        <x:v>FMV adventure</x:v>
      </x:c>
      <x:c r="Q954" s="9" t="str">
        <x:v>Released</x:v>
      </x:c>
      <x:c r="R954" s="9" t="str">
        <x:v>Original production (Czech Republic), based on history</x:v>
      </x:c>
      <x:c r="S954" s="9" t="str">
        <x:v>macOS, Linux, iOS, Android, Switch (2021, verify)</x:v>
      </x:c>
      <x:c r="T954" s="9" t="str">
        <x:v>Czech cast (names verify)</x:v>
      </x:c>
      <x:c r="U954" s="9" t="n">
        <x:v>0</x:v>
      </x:c>
      <x:c r="V954" s="9" t="str">
        <x:v>Yes</x:v>
      </x:c>
      <x:c r="W954" s="9" t="str">
        <x:v>Windows 7 (spec verify); also macOS, Linux</x:v>
      </x:c>
      <x:c r="X954" s="9" t="str">
        <x:v>Low</x:v>
      </x:c>
      <x:c r="Y954" s="9" t="str"/>
      <x:c r="Z954" s="9" t="str">
        <x:v>2–3 hr</x:v>
      </x:c>
      <x:c r="AA954" s="9" t="str">
        <x:v>Interviews with filmed survivors of the Heydrich assassination's aftermath: the academic FMV that won festival awards.</x:v>
      </x:c>
      <x:c r="AB954" s="9" t="str">
        <x:v>None known</x:v>
      </x:c>
      <x:c r="AC954" s="9" t="str">
        <x:v>Filmed interviews drive the investigation, interspersed with interactive memories and historical materials.</x:v>
      </x:c>
      <x:c r="AD954" s="9" t="str">
        <x:v>Easy</x:v>
      </x:c>
      <x:c r="AE954" s="9" t="str">
        <x:v>One, with variations</x:v>
      </x:c>
      <x:c r="AF954" s="9" t="str">
        <x:v>Czech Game of the Year 2017 and A MAZE. award winner; an IGF Excellence in Narrative nominee (verify). Sequel: Svoboda 1945: Liberation.</x:v>
      </x:c>
      <x:c r="AG954" s="9" t="str">
        <x:v>Digital; Switch (verify)</x:v>
      </x:c>
      <x:c r="AH954" s="9" t="str">
        <x:v>Yes (Steam)</x:v>
      </x:c>
      <x:c r="AI954" s="9" t="str">
        <x:v>Easy</x:v>
      </x:c>
      <x:c r="AJ954" s="9" t="str">
        <x:v>Steam: https://store.steampowered.com/app/676630/Attentat_1942/</x:v>
      </x:c>
      <x:c r="AK954" s="9" t="str">
        <x:v>Steam 31 Oct 2017, $10.99; Very Positive 93% of 507 (fmvgo, Sep 2026). Audit: Historically researched Czech resistance adventure with filmed witness interviews, interactive comics, archive footage and minigames. October31 2017; Windows/Mac/Linux current Steam purchase. English subtitles. Primary source: https://store.steampowered.com/app/676630/Attentat_1942/ Developer teaching guide confirms branching cinematic interviews are the main investigation loop, returning to map between interviews: https://charlesgames.net/attentat1942/Teachers_Guide.pdf Current developer platform list: https://www.charlesgames.net/games</x:v>
      </x:c>
      <x:c r="AL954" s="10"/>
      <x:c r="AM954" s="10"/>
      <x:c r="AN954" s="10"/>
      <x:c r="AO954" s="9"/>
      <x:c r="AP954" s="11" t="str">
        <x:f>HYPERLINK("https://www.pricecharting.com/search-products?q=Attentat+1942+pc+games&amp;type=prices","PriceCharting")</x:f>
        <x:v>PriceCharting</x:v>
      </x:c>
      <x:c r="AQ954" s="9" t="n">
        <x:v>10.99</x:v>
      </x:c>
      <x:c r="AR954" s="11" t="str">
        <x:v>Steam</x:v>
      </x:c>
      <x:c r="AS954" s="9" t="str">
        <x:f>HYPERLINK("https://store.steampowered.com/app/676630/","Store")</x:f>
        <x:v>Store</x:v>
      </x:c>
      <x:c r="AT954" s="9" t="str">
        <x:v>2026-10-25</x:v>
      </x:c>
      <x:c r="AU954" s="9"/>
      <x:c r="AV954" s="9"/>
      <x:c r="AW954" s="9"/>
      <x:c r="AX954" s="9"/>
      <x:c r="AY954" s="9"/>
      <x:c r="AZ954" s="9"/>
      <x:c r="BA954" s="11" t="str">
        <x:f>HYPERLINK("https://www.mobygames.com/search/?q=Attentat+1942","MobyGames")</x:f>
        <x:v>MobyGames</x:v>
      </x:c>
      <x:c r="BB954" s="9" t="str"/>
      <x:c r="BC954" s="9" t="str"/>
      <x:c r="BD954" s="9"/>
      <x:c r="BE954" s="11" t="str">
        <x:f>HYPERLINK("https://en.wikipedia.org/wiki/Attentat_1942","Wikipedia")</x:f>
        <x:v>Wikipedia</x:v>
      </x:c>
      <x:c r="BF954" s="11" t="str">
        <x:f>HYPERLINK("https://backloggd.com/search/games/Attentat%201942/","Backloggd")</x:f>
        <x:v>Backloggd</x:v>
      </x:c>
      <x:c r="BG954" s="9"/>
      <x:c r="BH954" s="9"/>
      <x:c r="BI954" s="12" t="str">
        <x:v>No</x:v>
      </x:c>
      <x:c r="BJ954" s="12" t="str"/>
      <x:c r="BK954" s="12" t="str">
        <x:v>No</x:v>
      </x:c>
      <x:c r="BL954" s="12" t="str"/>
      <x:c r="BM954" s="12" t="str"/>
      <x:c r="BN954" s="12" t="str"/>
      <x:c r="BO954" s="12" t="str"/>
      <x:c r="BP954" s="12" t="str"/>
      <x:c r="BQ954" s="12" t="str"/>
    </x:row>
    <x:row r="955">
      <x:c r="A955" s="9" t="str">
        <x:v>pc-274</x:v>
      </x:c>
      <x:c r="B955" s="9" t="str">
        <x:v>cibele</x:v>
      </x:c>
      <x:c r="C955" s="9" t="str">
        <x:v>PC</x:v>
      </x:c>
      <x:c r="D955" s="9" t="str">
        <x:v>Cibele</x:v>
      </x:c>
      <x:c r="E955" s="9" t="str"/>
      <x:c r="F955" s="9" t="str">
        <x:v>Star Maid Games</x:v>
      </x:c>
      <x:c r="G955" s="9" t="str">
        <x:v>Star Maid Games</x:v>
      </x:c>
      <x:c r="H955" s="9" t="n">
        <x:v>2015</x:v>
      </x:c>
      <x:c r="I955" s="9" t="str">
        <x:v>Yes</x:v>
      </x:c>
      <x:c r="J955" s="9" t="str">
        <x:v>Yes</x:v>
      </x:c>
      <x:c r="K955" s="9" t="str">
        <x:v>Yes</x:v>
      </x:c>
      <x:c r="L955" s="9" t="str">
        <x:v>No</x:v>
      </x:c>
      <x:c r="M955" s="9" t="str">
        <x:v>Autobiographical FMV romance</x:v>
      </x:c>
      <x:c r="N955" s="9" t="str">
        <x:v>Live-action</x:v>
      </x:c>
      <x:c r="O955" s="9" t="n">
        <x:v>6</x:v>
      </x:c>
      <x:c r="P955" s="9" t="str">
        <x:v>FMV adventure</x:v>
      </x:c>
      <x:c r="Q955" s="9" t="str">
        <x:v>Released</x:v>
      </x:c>
      <x:c r="R955" s="9" t="str">
        <x:v>Original production (USA), autobiographical</x:v>
      </x:c>
      <x:c r="S955" s="9" t="str">
        <x:v>macOS</x:v>
      </x:c>
      <x:c r="T955" s="9" t="str">
        <x:v>Nina Freeman (Nina), Justin Briner (Blake) (verify)</x:v>
      </x:c>
      <x:c r="U955" s="9" t="n">
        <x:v>0</x:v>
      </x:c>
      <x:c r="V955" s="9" t="str">
        <x:v>Yes</x:v>
      </x:c>
      <x:c r="W955" s="9" t="str">
        <x:v>Windows 7 (spec verify); also macOS</x:v>
      </x:c>
      <x:c r="X955" s="9" t="str">
        <x:v>Low</x:v>
      </x:c>
      <x:c r="Y955" s="9" t="str"/>
      <x:c r="Z955" s="9" t="str">
        <x:v>1.5–2 hr</x:v>
      </x:c>
      <x:c r="AA955" s="9" t="str">
        <x:v>Nina Freeman plays herself at 19 falling for a boy inside an MMO, with live-action scenes between the desktop: the revival's art-house FMV.</x:v>
      </x:c>
      <x:c r="AB955" s="9" t="str">
        <x:v>None known</x:v>
      </x:c>
      <x:c r="AC955" s="9" t="str">
        <x:v>Live-action film segments between fake-desktop and MMO play</x:v>
      </x:c>
      <x:c r="AD955" s="9" t="str">
        <x:v>Easy</x:v>
      </x:c>
      <x:c r="AE955" s="9" t="str">
        <x:v>One</x:v>
      </x:c>
      <x:c r="AF955" s="9" t="str">
        <x:v>IGF 2016 Excellence in Narrative honorable mention (verify); widely written about for its brief nudity and autobiography. Mixed on Steam (51%).</x:v>
      </x:c>
      <x:c r="AG955" s="9" t="str">
        <x:v>Digital only</x:v>
      </x:c>
      <x:c r="AH955" s="9" t="str">
        <x:v>Yes (Steam)</x:v>
      </x:c>
      <x:c r="AI955" s="9" t="str">
        <x:v>Easy</x:v>
      </x:c>
      <x:c r="AJ955" s="9" t="str">
        <x:v>Steam (Windows/Mac)</x:v>
      </x:c>
      <x:c r="AK955" s="9" t="str">
        <x:v>Steam 2 Nov 2015, $8.99; Mixed 51% of 1,274 (fmvgo, Sep 2026). Mature content advisory.</x:v>
      </x:c>
      <x:c r="AL955" s="10"/>
      <x:c r="AM955" s="10"/>
      <x:c r="AN955" s="10"/>
      <x:c r="AO955" s="9"/>
      <x:c r="AP955" s="11" t="str">
        <x:f>HYPERLINK("https://www.pricecharting.com/search-products?q=Cibele+pc+games&amp;type=prices","PriceCharting")</x:f>
        <x:v>PriceCharting</x:v>
      </x:c>
      <x:c r="AQ955" s="9" t="n">
        <x:v>8.99</x:v>
      </x:c>
      <x:c r="AR955" s="11" t="str">
        <x:v>Steam</x:v>
      </x:c>
      <x:c r="AS955" s="9" t="str">
        <x:f>HYPERLINK("https://store.steampowered.com/app/408120/","Store")</x:f>
        <x:v>Store</x:v>
      </x:c>
      <x:c r="AT955" s="9" t="str">
        <x:v>2026-10-25</x:v>
      </x:c>
      <x:c r="AU955" s="9"/>
      <x:c r="AV955" s="9"/>
      <x:c r="AW955" s="9"/>
      <x:c r="AX955" s="9"/>
      <x:c r="AY955" s="9"/>
      <x:c r="AZ955" s="9"/>
      <x:c r="BA955" s="11" t="str">
        <x:f>HYPERLINK("https://www.mobygames.com/search/?q=Cibele","MobyGames")</x:f>
        <x:v>MobyGames</x:v>
      </x:c>
      <x:c r="BB955" s="9" t="str"/>
      <x:c r="BC955" s="9" t="str"/>
      <x:c r="BD955" s="9"/>
      <x:c r="BE955" s="11" t="str">
        <x:f>HYPERLINK("https://en.wikipedia.org/wiki/Cibele_(video_game)","Wikipedia")</x:f>
        <x:v>Wikipedia</x:v>
      </x:c>
      <x:c r="BF955" s="11" t="str">
        <x:f>HYPERLINK("https://backloggd.com/search/games/Cibele/","Backloggd")</x:f>
        <x:v>Backloggd</x:v>
      </x:c>
      <x:c r="BG955" s="9"/>
      <x:c r="BH955" s="9"/>
      <x:c r="BI955" s="12" t="str">
        <x:v>No</x:v>
      </x:c>
      <x:c r="BJ955" s="12" t="str"/>
      <x:c r="BK955" s="12" t="str">
        <x:v>No</x:v>
      </x:c>
      <x:c r="BL955" s="12" t="str"/>
      <x:c r="BM955" s="12" t="str"/>
      <x:c r="BN955" s="12" t="str"/>
      <x:c r="BO955" s="12" t="str"/>
      <x:c r="BP955" s="12" t="str"/>
      <x:c r="BQ955" s="12" t="str"/>
    </x:row>
    <x:row r="956">
      <x:c r="A956" s="9" t="str">
        <x:v>pc-275</x:v>
      </x:c>
      <x:c r="B956" s="9" t="str">
        <x:v>lococycle</x:v>
      </x:c>
      <x:c r="C956" s="9" t="str">
        <x:v>PC</x:v>
      </x:c>
      <x:c r="D956" s="9" t="str">
        <x:v>LocoCycle</x:v>
      </x:c>
      <x:c r="E956" s="9" t="str"/>
      <x:c r="F956" s="9" t="str">
        <x:v>Twisted Pixel Games</x:v>
      </x:c>
      <x:c r="G956" s="9" t="str">
        <x:v>Xbox Game Studios (Microsoft Studios)</x:v>
      </x:c>
      <x:c r="H956" s="9" t="n">
        <x:v>2014</x:v>
      </x:c>
      <x:c r="I956" s="9" t="str">
        <x:v>Yes</x:v>
      </x:c>
      <x:c r="J956" s="9" t="str">
        <x:v>Yes</x:v>
      </x:c>
      <x:c r="K956" s="9" t="str">
        <x:v>Yes</x:v>
      </x:c>
      <x:c r="L956" s="9" t="str">
        <x:v>No</x:v>
      </x:c>
      <x:c r="M956" s="9" t="str">
        <x:v>Action racing with live-action cutscenes</x:v>
      </x:c>
      <x:c r="N956" s="9" t="str">
        <x:v>Live-action</x:v>
      </x:c>
      <x:c r="O956" s="9" t="n">
        <x:v>3</x:v>
      </x:c>
      <x:c r="P956" s="9" t="str">
        <x:v>Cutscenes only</x:v>
      </x:c>
      <x:c r="Q956" s="9" t="str">
        <x:v>Released</x:v>
      </x:c>
      <x:c r="R956" s="9" t="str">
        <x:v>Original production (USA)</x:v>
      </x:c>
      <x:c r="S956" s="9" t="str">
        <x:v>Xbox One (launch title, Nov 2013), Xbox 360</x:v>
      </x:c>
      <x:c r="T956" s="9" t="str">
        <x:v>Lisa Foiles (I.R.I.S.), Freddy Rodríguez (Pablo), Robert Patrick (S.P.I.K.E.), Tom Savini, James Gunn (verify)</x:v>
      </x:c>
      <x:c r="U956" s="9" t="n">
        <x:v>0</x:v>
      </x:c>
      <x:c r="V956" s="9" t="str">
        <x:v>Yes</x:v>
      </x:c>
      <x:c r="W956" s="9" t="str">
        <x:v>Windows 7 (spec verify)</x:v>
      </x:c>
      <x:c r="X956" s="9" t="str">
        <x:v>Low</x:v>
      </x:c>
      <x:c r="Y956" s="9" t="str"/>
      <x:c r="Z956" s="9" t="str">
        <x:v>3–4 hr</x:v>
      </x:c>
      <x:c r="AA956" s="9" t="str">
        <x:v>An Xbox One launch title whose live-action cutscenes, with Robert Patrick and Tom Savini, were the only part anyone liked.</x:v>
      </x:c>
      <x:c r="AB956" s="9" t="str">
        <x:v>None known</x:v>
      </x:c>
      <x:c r="AC956" s="9" t="str">
        <x:v>Lengthy live-action cutscenes between on-rails bike combat</x:v>
      </x:c>
      <x:c r="AD956" s="9" t="str">
        <x:v>Easy</x:v>
      </x:c>
      <x:c r="AE956" s="9" t="str">
        <x:v>One</x:v>
      </x:c>
      <x:c r="AF956" s="9" t="str">
        <x:v>Metacritic 47 on Xbox One (verify); Twisted Pixel's last Microsoft-published game.</x:v>
      </x:c>
      <x:c r="AG956" s="9" t="str">
        <x:v>Xbox One, Xbox 360, Steam</x:v>
      </x:c>
      <x:c r="AH956" s="9" t="str">
        <x:v>Yes (Steam, Xbox)</x:v>
      </x:c>
      <x:c r="AI956" s="9" t="str">
        <x:v>Easy</x:v>
      </x:c>
      <x:c r="AJ956" s="9" t="str">
        <x:v>Steam, Xbox (backward compatible)</x:v>
      </x:c>
      <x:c r="AK956" s="9" t="str">
        <x:v>Steam 14 Feb 2014, $9.99; Very Positive 81% of 401 (fmvgo, Sep 2026). First release Xbox One 22 Nov 2013. Cutscenes-only title kept as a famous bad one.</x:v>
      </x:c>
      <x:c r="AL956" s="10"/>
      <x:c r="AM956" s="10"/>
      <x:c r="AN956" s="10"/>
      <x:c r="AO956" s="9"/>
      <x:c r="AP956" s="11" t="str">
        <x:f>HYPERLINK("https://www.pricecharting.com/search-products?q=LocoCycle+pc+games&amp;type=prices","PriceCharting")</x:f>
        <x:v>PriceCharting</x:v>
      </x:c>
      <x:c r="AQ956" s="9" t="n">
        <x:v>9.99</x:v>
      </x:c>
      <x:c r="AR956" s="11" t="str">
        <x:v>Steam</x:v>
      </x:c>
      <x:c r="AS956" s="9" t="str">
        <x:f>HYPERLINK("https://store.steampowered.com/app/224040/","Store")</x:f>
        <x:v>Store</x:v>
      </x:c>
      <x:c r="AT956" s="9" t="str">
        <x:v>2026-10-25</x:v>
      </x:c>
      <x:c r="AU956" s="9"/>
      <x:c r="AV956" s="9"/>
      <x:c r="AW956" s="9"/>
      <x:c r="AX956" s="9"/>
      <x:c r="AY956" s="9"/>
      <x:c r="AZ956" s="9"/>
      <x:c r="BA956" s="11" t="str">
        <x:f>HYPERLINK("https://www.mobygames.com/search/?q=LocoCycle","MobyGames")</x:f>
        <x:v>MobyGames</x:v>
      </x:c>
      <x:c r="BB956" s="9" t="str"/>
      <x:c r="BC956" s="9" t="str"/>
      <x:c r="BD956" s="9"/>
      <x:c r="BE956" s="11" t="str">
        <x:f>HYPERLINK("https://en.wikipedia.org/wiki/LocoCycle","Wikipedia")</x:f>
        <x:v>Wikipedia</x:v>
      </x:c>
      <x:c r="BF956" s="11" t="str">
        <x:f>HYPERLINK("https://backloggd.com/search/games/LocoCycle/","Backloggd")</x:f>
        <x:v>Backloggd</x:v>
      </x:c>
      <x:c r="BG956" s="9"/>
      <x:c r="BH956" s="9"/>
      <x:c r="BI956" s="12" t="str">
        <x:v>No</x:v>
      </x:c>
      <x:c r="BJ956" s="12" t="str"/>
      <x:c r="BK956" s="12" t="str">
        <x:v>No</x:v>
      </x:c>
      <x:c r="BL956" s="12" t="str"/>
      <x:c r="BM956" s="12" t="str"/>
      <x:c r="BN956" s="12" t="str"/>
      <x:c r="BO956" s="12" t="str"/>
      <x:c r="BP956" s="12" t="str"/>
      <x:c r="BQ956" s="12" t="str"/>
    </x:row>
    <x:row r="957">
      <x:c r="A957" s="9" t="str">
        <x:v>pc-276</x:v>
      </x:c>
      <x:c r="B957" s="9" t="str">
        <x:v>flash-traffic-city-of-angels</x:v>
      </x:c>
      <x:c r="C957" s="9" t="str">
        <x:v>PC</x:v>
      </x:c>
      <x:c r="D957" s="9" t="str">
        <x:v>Flash Traffic: City of Angels</x:v>
      </x:c>
      <x:c r="E957" s="9" t="str"/>
      <x:c r="F957" s="9" t="str">
        <x:v>Tsunami Media</x:v>
      </x:c>
      <x:c r="G957" s="9" t="str">
        <x:v>Time Warner Interactive</x:v>
      </x:c>
      <x:c r="H957" s="9" t="n">
        <x:v>1994</x:v>
      </x:c>
      <x:c r="I957" s="9" t="str">
        <x:v>Yes</x:v>
      </x:c>
      <x:c r="J957" s="9" t="str">
        <x:v>No</x:v>
      </x:c>
      <x:c r="K957" s="9" t="str">
        <x:v>Yes</x:v>
      </x:c>
      <x:c r="L957" s="9" t="str">
        <x:v>No</x:v>
      </x:c>
      <x:c r="M957" s="9" t="str">
        <x:v>Interactive movie</x:v>
      </x:c>
      <x:c r="N957" s="9" t="str">
        <x:v>Live-action</x:v>
      </x:c>
      <x:c r="O957" s="9" t="n">
        <x:v>10</x:v>
      </x:c>
      <x:c r="P957" s="9" t="str">
        <x:v>Interactive movie</x:v>
      </x:c>
      <x:c r="Q957" s="9" t="str">
        <x:v>Released</x:v>
      </x:c>
      <x:c r="R957" s="9" t="str">
        <x:v>Original production</x:v>
      </x:c>
      <x:c r="S957" s="9"/>
      <x:c r="T957" s="9" t="str">
        <x:v>Cast of TV actors (names verify)</x:v>
      </x:c>
      <x:c r="U957" s="9" t="n">
        <x:v>3</x:v>
      </x:c>
      <x:c r="V957" s="9" t="str">
        <x:v>Yes</x:v>
      </x:c>
      <x:c r="W957" s="9" t="str">
        <x:v>MS-DOS, 486, 8 MB RAM, 2x CD-ROM (verify)</x:v>
      </x:c>
      <x:c r="X957" s="9" t="str">
        <x:v>Low</x:v>
      </x:c>
      <x:c r="Y957" s="9" t="str"/>
      <x:c r="Z957" s="9" t="str">
        <x:v>2–3 hr</x:v>
      </x:c>
      <x:c r="AA957" s="9" t="str">
        <x:v>A DEA raid turns up the parts of a nuclear bomb and you have three choices at the end of every scene to find it before Los Angeles goes.</x:v>
      </x:c>
      <x:c r="AB957" s="9" t="str">
        <x:v>None known</x:v>
      </x:c>
      <x:c r="AC957" s="9" t="str">
        <x:v>Live-action streamed video; resolution and frame rate Unknown — verify</x:v>
      </x:c>
      <x:c r="AD957" s="9" t="str">
        <x:v>Easy</x:v>
      </x:c>
      <x:c r="AE957" s="9" t="str">
        <x:v>Several, with deaths</x:v>
      </x:c>
      <x:c r="AF957" s="9" t="str">
        <x:v>Shown at COMDEX in November 1994. Entertainment Weekly gave it a C+ ('an uninspiring script and so-so acting'); the New York Times found it 'stronger on acting and dialogue than on plot'.</x:v>
      </x:c>
      <x:c r="AG957" s="9" t="str">
        <x:v>3-CD DOS release</x:v>
      </x:c>
      <x:c r="AH957" s="9" t="str">
        <x:v>No verified current official digital re-release; original discs secondhand</x:v>
      </x:c>
      <x:c r="AI957" s="9" t="str">
        <x:v>Easy</x:v>
      </x:c>
      <x:c r="AJ957" s="9" t="str">
        <x:v>Buy original DOS CDs secondhand; DOSBox compatibility depends on edition. The MPEG edition’s hardware needs separate verification. No verified Steam/GOG product.</x:v>
      </x:c>
      <x:c r="AK957" s="9" t="str">
        <x:v>Wikipedia names two professional reviews and no aggregate score. Audit: English release confirmed. EU/JP distribution, save, length, cast and video specification Unknown — verify. Current retail stock is not guaranteed.</x:v>
      </x:c>
      <x:c r="AL957" s="10"/>
      <x:c r="AM957" s="10"/>
      <x:c r="AN957" s="10"/>
      <x:c r="AO957" s="9"/>
      <x:c r="AP957" s="11" t="str">
        <x:f>HYPERLINK("https://www.pricecharting.com/search-products?q=Flash+Traffic%3A+City+of+Angels+pc+games&amp;type=prices","PriceCharting")</x:f>
        <x:v>PriceCharting</x:v>
      </x:c>
      <x:c r="AQ957" s="9"/>
      <x:c r="AR957" s="9"/>
      <x:c r="AS957" s="9"/>
      <x:c r="AT957" s="9"/>
      <x:c r="AU957" s="9" t="str">
        <x:v>No market</x:v>
      </x:c>
      <x:c r="AV957" s="9" t="str">
        <x:v>Not sold on Steam or GOG (checked 2026-10-25) and no PriceCharting listing.</x:v>
      </x:c>
      <x:c r="AW957" s="9"/>
      <x:c r="AX957" s="9"/>
      <x:c r="AY957" s="9"/>
      <x:c r="AZ957" s="9"/>
      <x:c r="BA957" s="11" t="str">
        <x:f>HYPERLINK("https://www.mobygames.com/search/?q=Flash+Traffic%3A+City+of+Angels","MobyGames")</x:f>
        <x:v>MobyGames</x:v>
      </x:c>
      <x:c r="BB957" s="9" t="str"/>
      <x:c r="BC957" s="9" t="str"/>
      <x:c r="BD957" s="9"/>
      <x:c r="BE957" s="11" t="str">
        <x:f>HYPERLINK("https://en.wikipedia.org/wiki/Flash_Traffic:_City_of_Angels","Wikipedia")</x:f>
        <x:v>Wikipedia</x:v>
      </x:c>
      <x:c r="BF957" s="11" t="str">
        <x:f>HYPERLINK("https://backloggd.com/search/games/Flash%20Traffic%3A%20City%20of%20Angels/","Backloggd")</x:f>
        <x:v>Backloggd</x:v>
      </x:c>
      <x:c r="BG957" s="9"/>
      <x:c r="BH957" s="9"/>
      <x:c r="BI957" s="12" t="str">
        <x:v>No</x:v>
      </x:c>
      <x:c r="BJ957" s="12" t="str"/>
      <x:c r="BK957" s="12" t="str">
        <x:v>No</x:v>
      </x:c>
      <x:c r="BL957" s="12" t="str"/>
      <x:c r="BM957" s="12" t="str"/>
      <x:c r="BN957" s="12" t="str"/>
      <x:c r="BO957" s="12" t="str"/>
      <x:c r="BP957" s="12" t="str"/>
      <x:c r="BQ957" s="12" t="str"/>
    </x:row>
    <x:row r="958">
      <x:c r="A958" s="9" t="str">
        <x:v>pc-277</x:v>
      </x:c>
      <x:c r="B958" s="9" t="str">
        <x:v>are-you-afraid-of-the-dark-the-tale-of-orpheos-curse</x:v>
      </x:c>
      <x:c r="C958" s="9" t="str">
        <x:v>PC</x:v>
      </x:c>
      <x:c r="D958" s="9" t="str">
        <x:v>Are You Afraid of the Dark? The Tale of Orpheo's Curse</x:v>
      </x:c>
      <x:c r="E958" s="9" t="str"/>
      <x:c r="F958" s="9" t="str">
        <x:v>Viacom New Media</x:v>
      </x:c>
      <x:c r="G958" s="9" t="str">
        <x:v>Viacom New Media</x:v>
      </x:c>
      <x:c r="H958" s="9" t="n">
        <x:v>1994</x:v>
      </x:c>
      <x:c r="I958" s="9" t="str">
        <x:v>Yes</x:v>
      </x:c>
      <x:c r="J958" s="9" t="str">
        <x:v>No</x:v>
      </x:c>
      <x:c r="K958" s="9" t="str">
        <x:v>Yes</x:v>
      </x:c>
      <x:c r="L958" s="9" t="str">
        <x:v>No</x:v>
      </x:c>
      <x:c r="M958" s="9" t="str">
        <x:v>First-person horror adventure</x:v>
      </x:c>
      <x:c r="N958" s="9" t="str">
        <x:v>Live-action</x:v>
      </x:c>
      <x:c r="O958" s="9" t="n">
        <x:v>6</x:v>
      </x:c>
      <x:c r="P958" s="9" t="str">
        <x:v>FMV adventure</x:v>
      </x:c>
      <x:c r="Q958" s="9" t="str">
        <x:v>Released</x:v>
      </x:c>
      <x:c r="R958" s="9" t="str">
        <x:v>Original production</x:v>
      </x:c>
      <x:c r="S958" s="9" t="str">
        <x:v>Macintosh</x:v>
      </x:c>
      <x:c r="T958" s="9" t="str">
        <x:v>The Midnight Society from the Nickelodeon show in filmed framing scenes (cast verify)</x:v>
      </x:c>
      <x:c r="U958" s="9" t="n">
        <x:v>1</x:v>
      </x:c>
      <x:c r="V958" s="9" t="str">
        <x:v>Yes</x:v>
      </x:c>
      <x:c r="W958" s="9" t="str">
        <x:v>MS-DOS, 486, 8 MB RAM, 2x CD-ROM (verify)</x:v>
      </x:c>
      <x:c r="X958" s="9" t="str">
        <x:v>Med</x:v>
      </x:c>
      <x:c r="Y958" s="9" t="str">
        <x:v>Nickelodeon footage and theme</x:v>
      </x:c>
      <x:c r="Z958" s="9" t="str">
        <x:v>4–6 hr</x:v>
      </x:c>
      <x:c r="AA958" s="9" t="str">
        <x:v>Nickelodeon's campfire show as a Myst-style haunted theatre, with the Midnight Society telling the tale on film.</x:v>
      </x:c>
      <x:c r="AB958" s="9" t="str">
        <x:v>None known</x:v>
      </x:c>
      <x:c r="AC958" s="9" t="str">
        <x:v>Filmed Midnight Society framing scenes and ghost apparitions over rendered theatre screens</x:v>
      </x:c>
      <x:c r="AD958" s="9" t="str">
        <x:v>Moderate; inventory and logic puzzles</x:v>
      </x:c>
      <x:c r="AE958" s="9" t="str">
        <x:v>One</x:v>
      </x:c>
      <x:c r="AF958" s="9" t="str">
        <x:v>Co-designed and written by Raymond Benson (later the James Bond novelist), music by George 'The Fat Man' Sanger. Praised at the time for being scary without violence a year after the Night Trap hearings; little advertised, so the disc is scarce.</x:v>
      </x:c>
      <x:c r="AG958" s="9" t="str">
        <x:v>DOS and Macintosh CD-ROM</x:v>
      </x:c>
      <x:c r="AH958" s="9" t="str">
        <x:v>No</x:v>
      </x:c>
      <x:c r="AI958" s="9" t="str">
        <x:v>Easy</x:v>
      </x:c>
      <x:c r="AJ958" s="9" t="str">
        <x:v>Original disc in DOSBox or a Windows 9x virtual machine; disc images circulate</x:v>
      </x:c>
      <x:c r="AK958" s="9" t="str">
        <x:v>Eight outlets quoted on Wikipedia, none with scores.</x:v>
      </x:c>
      <x:c r="AL958" s="10"/>
      <x:c r="AM958" s="10"/>
      <x:c r="AN958" s="10"/>
      <x:c r="AO958" s="9"/>
      <x:c r="AP958" s="11" t="str">
        <x:f>HYPERLINK("https://www.pricecharting.com/search-products?q=Are+You+Afraid+of+the+Dark%3F+The+Tale+of+Orpheo%27s+Curse+pc+games&amp;type=prices","PriceCharting")</x:f>
        <x:v>PriceCharting</x:v>
      </x:c>
      <x:c r="AQ958" s="9"/>
      <x:c r="AR958" s="9"/>
      <x:c r="AS958" s="9"/>
      <x:c r="AT958" s="9"/>
      <x:c r="AU958" s="9" t="str">
        <x:v>No market</x:v>
      </x:c>
      <x:c r="AV958" s="9" t="str">
        <x:v>Not sold on Steam or GOG (checked 2026-10-25) and no PriceCharting listing.</x:v>
      </x:c>
      <x:c r="AW958" s="9"/>
      <x:c r="AX958" s="9"/>
      <x:c r="AY958" s="9"/>
      <x:c r="AZ958" s="9"/>
      <x:c r="BA958" s="11" t="str">
        <x:f>HYPERLINK("https://www.mobygames.com/search/?q=Are+You+Afraid+of+the+Dark%3F+The+Tale+of+Orpheo%27s+Curse","MobyGames")</x:f>
        <x:v>MobyGames</x:v>
      </x:c>
      <x:c r="BB958" s="9" t="str">
        <x:v>75%</x:v>
      </x:c>
      <x:c r="BC958" s="9" t="str">
        <x:v>GameRankings, 2 reviews</x:v>
      </x:c>
      <x:c r="BD958" s="9" t="str">
        <x:f>HYPERLINK("https://web.archive.org/web/20191209011855id_/https://www.gamerankings.com/pc/574847-are-you-afraid-of-the-dark-the-tale-of-orpheos-curse/index.html","Source")</x:f>
        <x:v>Source</x:v>
      </x:c>
      <x:c r="BE958" s="11" t="str">
        <x:f>HYPERLINK("https://en.wikipedia.org/wiki/Are_You_Afraid_of_the_Dark%3F_The_Tale_of_Orpheo%27s_Curse","Wikipedia")</x:f>
        <x:v>Wikipedia</x:v>
      </x:c>
      <x:c r="BF958" s="11" t="str">
        <x:f>HYPERLINK("https://backloggd.com/search/games/Are%20You%20Afraid%20of%20the%20Dark%3F%20The%20Tale%20of%20Orpheo%27s%20Curse/","Backloggd")</x:f>
        <x:v>Backloggd</x:v>
      </x:c>
      <x:c r="BG958" s="9"/>
      <x:c r="BH958" s="9"/>
      <x:c r="BI958" s="12" t="str">
        <x:v>No</x:v>
      </x:c>
      <x:c r="BJ958" s="12" t="str"/>
      <x:c r="BK958" s="12" t="str">
        <x:v>No</x:v>
      </x:c>
      <x:c r="BL958" s="12" t="str"/>
      <x:c r="BM958" s="12" t="str"/>
      <x:c r="BN958" s="12" t="str"/>
      <x:c r="BO958" s="12" t="str"/>
      <x:c r="BP958" s="12" t="str"/>
      <x:c r="BQ958" s="12" t="str"/>
    </x:row>
    <x:row r="959">
      <x:c r="A959" s="9" t="str">
        <x:v>pc-278</x:v>
      </x:c>
      <x:c r="B959" s="9" t="str">
        <x:v>da-pursuit-of-justice</x:v>
      </x:c>
      <x:c r="C959" s="9" t="str">
        <x:v>PC</x:v>
      </x:c>
      <x:c r="D959" s="9" t="str">
        <x:v>D.A.: Pursuit of Justice</x:v>
      </x:c>
      <x:c r="E959" s="9" t="str"/>
      <x:c r="F959" s="9" t="str">
        <x:v>Legacy Software</x:v>
      </x:c>
      <x:c r="G959" s="9" t="str">
        <x:v>Legacy Software; Alpha Software (1997 bundle); Activision (2001 remake)</x:v>
      </x:c>
      <x:c r="H959" s="9" t="n">
        <x:v>1997</x:v>
      </x:c>
      <x:c r="I959" s="9" t="str">
        <x:v>Yes</x:v>
      </x:c>
      <x:c r="J959" s="9" t="str">
        <x:v>No</x:v>
      </x:c>
      <x:c r="K959" s="9" t="str">
        <x:v>Yes</x:v>
      </x:c>
      <x:c r="L959" s="9" t="str">
        <x:v>No</x:v>
      </x:c>
      <x:c r="M959" s="9" t="str">
        <x:v>Courtroom FMV adventure</x:v>
      </x:c>
      <x:c r="N959" s="9" t="str">
        <x:v>Live-action</x:v>
      </x:c>
      <x:c r="O959" s="9" t="n">
        <x:v>8</x:v>
      </x:c>
      <x:c r="P959" s="9" t="str">
        <x:v>Interactive movie</x:v>
      </x:c>
      <x:c r="Q959" s="9" t="str">
        <x:v>Released</x:v>
      </x:c>
      <x:c r="R959" s="9" t="str">
        <x:v>Original production</x:v>
      </x:c>
      <x:c r="S959" s="9"/>
      <x:c r="T959" s="9" t="str">
        <x:v>57 principal actors on 20 sets, filmed on the streets of Los Angeles over three weeks (names verify)</x:v>
      </x:c>
      <x:c r="U959" s="9" t="n">
        <x:v>8</x:v>
      </x:c>
      <x:c r="V959" s="9" t="str">
        <x:v>Yes</x:v>
      </x:c>
      <x:c r="W959" s="9" t="str">
        <x:v>Windows 95, Pentium, 16 MB RAM, 4x CD-ROM (verify)</x:v>
      </x:c>
      <x:c r="X959" s="9" t="str">
        <x:v>Low</x:v>
      </x:c>
      <x:c r="Y959" s="9" t="str"/>
      <x:c r="Z959" s="9" t="str">
        <x:v>3–5 hr per case</x:v>
      </x:c>
      <x:c r="AA959" s="9" t="str">
        <x:v>You are a Los Angeles prosecutor: four days of evidence gathering, then a filmed trial where you question witnesses and object; three cases, sold apart or as an eight-CD bundle.</x:v>
      </x:c>
      <x:c r="AB959" s="9" t="str">
        <x:v>None known</x:v>
      </x:c>
      <x:c r="AC959" s="9" t="str">
        <x:v>Filmed interviews, crime scenes and courtroom testimony; the trial plays as live video you interrupt</x:v>
      </x:c>
      <x:c r="AD959" s="9" t="str">
        <x:v>Moderate; cases can be lost in court</x:v>
      </x:c>
      <x:c r="AE959" s="9" t="str">
        <x:v>Verdict per case</x:v>
      </x:c>
      <x:c r="AF959" s="9" t="str">
        <x:v>The first game to carry the 'Designed for Windows 95' logo. California attorneys could earn 18 MCLE continuing-education units from it. Cases 4–6 were never released; Legacy lost $859,424 on it in 1998. Remade in 2001 (GameRankings 65.40%).</x:v>
      </x:c>
      <x:c r="AG959" s="9" t="str">
        <x:v>The Sunset Boulevard Deuce, The Gatsby Diamond Jewelry Theft and The Rat Tattoo Murder (1997, separately or bundled); 2001 remake published by Activision; school edition</x:v>
      </x:c>
      <x:c r="AH959" s="9" t="str">
        <x:v>No</x:v>
      </x:c>
      <x:c r="AI959" s="9" t="str">
        <x:v>Easy</x:v>
      </x:c>
      <x:c r="AJ959" s="9" t="str">
        <x:v>Original disc in DOSBox or a Windows 9x virtual machine; disc images circulate</x:v>
      </x:c>
      <x:c r="AK959" s="9" t="str">
        <x:v>Computer Gaming World 40/100, PC Gamer 70, GameZone 7.9; Games Magazine Best New Simulation. One record for the series; the cases are variants.</x:v>
      </x:c>
      <x:c r="AL959" s="10"/>
      <x:c r="AM959" s="10"/>
      <x:c r="AN959" s="10"/>
      <x:c r="AO959" s="9"/>
      <x:c r="AP959" s="11" t="str">
        <x:f>HYPERLINK("https://www.pricecharting.com/search-products?q=D.A.%3A+Pursuit+of+Justice+pc+games&amp;type=prices","PriceCharting")</x:f>
        <x:v>PriceCharting</x:v>
      </x:c>
      <x:c r="AQ959" s="9"/>
      <x:c r="AR959" s="9"/>
      <x:c r="AS959" s="9"/>
      <x:c r="AT959" s="9"/>
      <x:c r="AU959" s="9" t="str">
        <x:v>No market</x:v>
      </x:c>
      <x:c r="AV959" s="9" t="str">
        <x:v>Not sold on Steam or GOG (checked 2026-10-25) and no PriceCharting listing.</x:v>
      </x:c>
      <x:c r="AW959" s="9"/>
      <x:c r="AX959" s="9"/>
      <x:c r="AY959" s="9"/>
      <x:c r="AZ959" s="9"/>
      <x:c r="BA959" s="11" t="str">
        <x:f>HYPERLINK("https://www.mobygames.com/search/?q=D.A.%3A+Pursuit+of+Justice","MobyGames")</x:f>
        <x:v>MobyGames</x:v>
      </x:c>
      <x:c r="BB959" s="9" t="str">
        <x:v>65%</x:v>
      </x:c>
      <x:c r="BC959" s="9" t="str">
        <x:v>GameRankings (2001 remake)</x:v>
      </x:c>
      <x:c r="BD959" s="9" t="str">
        <x:f>HYPERLINK("https://en.wikipedia.org/wiki/D.A._Pursuit_of_Justice","Source")</x:f>
        <x:v>Source</x:v>
      </x:c>
      <x:c r="BE959" s="11" t="str">
        <x:f>HYPERLINK("https://en.wikipedia.org/wiki/D.A._Pursuit_of_Justice","Wikipedia")</x:f>
        <x:v>Wikipedia</x:v>
      </x:c>
      <x:c r="BF959" s="11" t="str">
        <x:f>HYPERLINK("https://backloggd.com/search/games/D.A.%3A%20Pursuit%20of%20Justice/","Backloggd")</x:f>
        <x:v>Backloggd</x:v>
      </x:c>
      <x:c r="BG959" s="9"/>
      <x:c r="BH959" s="9"/>
      <x:c r="BI959" s="12" t="str">
        <x:v>No</x:v>
      </x:c>
      <x:c r="BJ959" s="12" t="str"/>
      <x:c r="BK959" s="12" t="str">
        <x:v>No</x:v>
      </x:c>
      <x:c r="BL959" s="12" t="str"/>
      <x:c r="BM959" s="12" t="str"/>
      <x:c r="BN959" s="12" t="str"/>
      <x:c r="BO959" s="12" t="str"/>
      <x:c r="BP959" s="12" t="str"/>
      <x:c r="BQ959" s="12" t="str"/>
    </x:row>
    <x:row r="960">
      <x:c r="A960" s="9" t="str">
        <x:v>pc-279</x:v>
      </x:c>
      <x:c r="B960" s="9" t="str">
        <x:v>golden-gate</x:v>
      </x:c>
      <x:c r="C960" s="9" t="str">
        <x:v>PC</x:v>
      </x:c>
      <x:c r="D960" s="9" t="str">
        <x:v>Golden Gate</x:v>
      </x:c>
      <x:c r="E960" s="9" t="str"/>
      <x:c r="F960" s="9" t="str">
        <x:v>iX Entertainment</x:v>
      </x:c>
      <x:c r="G960" s="9" t="str">
        <x:v>Panasonic Interactive Media</x:v>
      </x:c>
      <x:c r="H960" s="9" t="n">
        <x:v>1997</x:v>
      </x:c>
      <x:c r="I960" s="9" t="str">
        <x:v>Yes</x:v>
      </x:c>
      <x:c r="J960" s="9" t="str">
        <x:v>No</x:v>
      </x:c>
      <x:c r="K960" s="9" t="str">
        <x:v>Yes</x:v>
      </x:c>
      <x:c r="L960" s="9" t="str">
        <x:v>No</x:v>
      </x:c>
      <x:c r="M960" s="9" t="str">
        <x:v>Point-and-click adventure</x:v>
      </x:c>
      <x:c r="N960" s="9" t="str">
        <x:v>Live-action</x:v>
      </x:c>
      <x:c r="O960" s="9" t="n">
        <x:v>5</x:v>
      </x:c>
      <x:c r="P960" s="9" t="str">
        <x:v>FMV adventure</x:v>
      </x:c>
      <x:c r="Q960" s="9" t="str">
        <x:v>Released</x:v>
      </x:c>
      <x:c r="R960" s="9" t="str">
        <x:v>Original production</x:v>
      </x:c>
      <x:c r="S960" s="9" t="str">
        <x:v>Macintosh</x:v>
      </x:c>
      <x:c r="T960" s="9" t="str">
        <x:v>Filmed actors over photographed San Francisco (names verify)</x:v>
      </x:c>
      <x:c r="U960" s="9" t="n">
        <x:v>2</x:v>
      </x:c>
      <x:c r="V960" s="9" t="str">
        <x:v>Yes</x:v>
      </x:c>
      <x:c r="W960" s="9" t="str">
        <x:v>Windows 95, Pentium, 16 MB RAM, 4x CD-ROM (verify)</x:v>
      </x:c>
      <x:c r="X960" s="9" t="str">
        <x:v>Low</x:v>
      </x:c>
      <x:c r="Y960" s="9" t="str"/>
      <x:c r="Z960" s="9" t="str">
        <x:v>6–8 hr</x:v>
      </x:c>
      <x:c r="AA960" s="9" t="str">
        <x:v>A treasure hunt through a photographed San Francisco with filmed characters, from the publisher that also sold the 3DO.</x:v>
      </x:c>
      <x:c r="AB960" s="9" t="str">
        <x:v>None known</x:v>
      </x:c>
      <x:c r="AC960" s="9" t="str">
        <x:v>Filmed actors composited onto San Francisco photography and film-style transitions (verify)</x:v>
      </x:c>
      <x:c r="AD960" s="9" t="str">
        <x:v>Moderate; inventory puzzles</x:v>
      </x:c>
      <x:c r="AE960" s="9" t="str">
        <x:v>One</x:v>
      </x:c>
      <x:c r="AF960" s="9" t="str">
        <x:v>A 3DO version was in development and never released. Eleven outlets reviewed it with no numeric scores: CD Mag called it 'a diamond in the rough', Game Revolution did not recommend it.</x:v>
      </x:c>
      <x:c r="AG960" s="9" t="str">
        <x:v>Windows and Macintosh hybrid (verify)</x:v>
      </x:c>
      <x:c r="AH960" s="9" t="str">
        <x:v>No</x:v>
      </x:c>
      <x:c r="AI960" s="9" t="str">
        <x:v>Easy</x:v>
      </x:c>
      <x:c r="AJ960" s="9" t="str">
        <x:v>Original disc in DOSBox or a Windows 9x virtual machine; disc images circulate</x:v>
      </x:c>
      <x:c r="AK960" s="9" t="str">
        <x:v>Left out of the first PC pass; FMV World lists it as an FMV game.</x:v>
      </x:c>
      <x:c r="AL960" s="10" t="n">
        <x:v>6.9</x:v>
      </x:c>
      <x:c r="AM960" s="10" t="n">
        <x:v>15.18</x:v>
      </x:c>
      <x:c r="AN960" s="10" t="n">
        <x:v>29.08</x:v>
      </x:c>
      <x:c r="AO960" s="9" t="str">
        <x:v>2026-10-25</x:v>
      </x:c>
      <x:c r="AP960" s="11" t="str">
        <x:f>HYPERLINK("https://www.pricecharting.com/game/pc-games/golden-gate","PriceCharting")</x:f>
        <x:v>PriceCharting</x:v>
      </x:c>
      <x:c r="AQ960" s="9"/>
      <x:c r="AR960" s="9"/>
      <x:c r="AS960" s="9"/>
      <x:c r="AT960" s="9"/>
      <x:c r="AU960" s="9"/>
      <x:c r="AV960" s="9"/>
      <x:c r="AW960" s="9"/>
      <x:c r="AX960" s="9"/>
      <x:c r="AY960" s="9" t="str">
        <x:v>67%</x:v>
      </x:c>
      <x:c r="AZ960" s="9" t="str">
        <x:v>3.3</x:v>
      </x:c>
      <x:c r="BA960" s="11" t="str">
        <x:f>HYPERLINK("https://www.mobygames.com/game/windows/golden-gate","MobyGames")</x:f>
        <x:v>MobyGames</x:v>
      </x:c>
      <x:c r="BB960" s="9" t="str">
        <x:v>59%</x:v>
      </x:c>
      <x:c r="BC960" s="9" t="str">
        <x:v>GameRankings, 5 reviews</x:v>
      </x:c>
      <x:c r="BD960" s="9" t="str">
        <x:f>HYPERLINK("https://web.archive.org/web/20191209013824id_/https://www.gamerankings.com/pc/197460-golden-gate/","Source")</x:f>
        <x:v>Source</x:v>
      </x:c>
      <x:c r="BE960" s="11" t="str">
        <x:f>HYPERLINK("https://en.wikipedia.org/wiki/Golden_Gate_(video_game)","Wikipedia")</x:f>
        <x:v>Wikipedia</x:v>
      </x:c>
      <x:c r="BF960" s="11" t="str">
        <x:f>HYPERLINK("https://backloggd.com/search/games/Golden%20Gate/","Backloggd")</x:f>
        <x:v>Backloggd</x:v>
      </x:c>
      <x:c r="BG960" s="9"/>
      <x:c r="BH960" s="9"/>
      <x:c r="BI960" s="12" t="str">
        <x:v>No</x:v>
      </x:c>
      <x:c r="BJ960" s="12" t="str"/>
      <x:c r="BK960" s="12" t="str">
        <x:v>No</x:v>
      </x:c>
      <x:c r="BL960" s="12" t="str"/>
      <x:c r="BM960" s="12" t="str"/>
      <x:c r="BN960" s="12" t="str"/>
      <x:c r="BO960" s="12" t="str"/>
      <x:c r="BP960" s="12" t="str"/>
      <x:c r="BQ960" s="12" t="str"/>
    </x:row>
    <x:row r="961">
      <x:c r="A961" s="9" t="str">
        <x:v>pc-280</x:v>
      </x:c>
      <x:c r="B961" s="9" t="str">
        <x:v>commander-blood</x:v>
      </x:c>
      <x:c r="C961" s="9" t="str">
        <x:v>PC</x:v>
      </x:c>
      <x:c r="D961" s="9" t="str">
        <x:v>Commander Blood</x:v>
      </x:c>
      <x:c r="E961" s="9" t="str"/>
      <x:c r="F961" s="9" t="str">
        <x:v>Cryo Interactive</x:v>
      </x:c>
      <x:c r="G961" s="9" t="str">
        <x:v>Mindscape</x:v>
      </x:c>
      <x:c r="H961" s="9" t="n">
        <x:v>1994</x:v>
      </x:c>
      <x:c r="I961" s="9" t="str">
        <x:v>Yes</x:v>
      </x:c>
      <x:c r="J961" s="9" t="str">
        <x:v>No</x:v>
      </x:c>
      <x:c r="K961" s="9" t="str">
        <x:v>Yes</x:v>
      </x:c>
      <x:c r="L961" s="9" t="str">
        <x:v>No</x:v>
      </x:c>
      <x:c r="M961" s="9" t="str">
        <x:v>Science-fiction adventure</x:v>
      </x:c>
      <x:c r="N961" s="9" t="str">
        <x:v>Puppets and CG video</x:v>
      </x:c>
      <x:c r="O961" s="9" t="n">
        <x:v>6</x:v>
      </x:c>
      <x:c r="P961" s="9" t="str">
        <x:v>FMV adventure</x:v>
      </x:c>
      <x:c r="Q961" s="9" t="str">
        <x:v>Released</x:v>
      </x:c>
      <x:c r="R961" s="9" t="str">
        <x:v>Original production</x:v>
      </x:c>
      <x:c r="S961" s="9"/>
      <x:c r="T961" s="9" t="str">
        <x:v>Live-action puppeteering shot against chroma key for the non-CG characters</x:v>
      </x:c>
      <x:c r="U961" s="9" t="n">
        <x:v>1</x:v>
      </x:c>
      <x:c r="V961" s="9" t="str">
        <x:v>Yes</x:v>
      </x:c>
      <x:c r="W961" s="9" t="str">
        <x:v>MS-DOS, 486, 8 MB RAM, 2x CD-ROM (verify)</x:v>
      </x:c>
      <x:c r="X961" s="9" t="str">
        <x:v>Low</x:v>
      </x:c>
      <x:c r="Y961" s="9" t="str"/>
      <x:c r="Z961" s="9" t="str">
        <x:v>4–6 hr</x:v>
      </x:c>
      <x:c r="AA961" s="9" t="str">
        <x:v>Cryo's sequel to Captain Blood talks to aliens through filmed puppets and rendered video, with a Stéphane Picq score.</x:v>
      </x:c>
      <x:c r="AB961" s="9" t="str">
        <x:v>None known</x:v>
      </x:c>
      <x:c r="AC961" s="9" t="str">
        <x:v>Puppet characters filmed on chroma key mixed with CG sequences; conversation by multiple-choice topics</x:v>
      </x:c>
      <x:c r="AD961" s="9" t="str">
        <x:v>Moderate</x:v>
      </x:c>
      <x:c r="AE961" s="9" t="str">
        <x:v>One</x:v>
      </x:c>
      <x:c r="AF961" s="9" t="str">
        <x:v>The French sequel The Big Bug Bang (1996) was never translated. A Jaguar CD port announced in 1995 was cancelled in 1996; a non-playable demo surfaced in 2002.</x:v>
      </x:c>
      <x:c r="AG961" s="9" t="str">
        <x:v>DOS CD-ROM; French original 'Commander Blood'</x:v>
      </x:c>
      <x:c r="AH961" s="9" t="str">
        <x:v>No (verify; the Big Bug Bang is French only)</x:v>
      </x:c>
      <x:c r="AI961" s="9" t="str">
        <x:v>Easy</x:v>
      </x:c>
      <x:c r="AJ961" s="9" t="str">
        <x:v>Original disc in DOSBox or a Windows 9x virtual machine; disc images circulate</x:v>
      </x:c>
      <x:c r="AK961" s="9"/>
      <x:c r="AL961" s="10" t="n">
        <x:v>6.04</x:v>
      </x:c>
      <x:c r="AM961" s="10" t="n">
        <x:v>23.75</x:v>
      </x:c>
      <x:c r="AN961" s="10" t="n">
        <x:v>57.5</x:v>
      </x:c>
      <x:c r="AO961" s="9" t="str">
        <x:v>2026-10-25</x:v>
      </x:c>
      <x:c r="AP961" s="11" t="str">
        <x:f>HYPERLINK("https://www.pricecharting.com/game/pc-games/commander-blood","PriceCharting")</x:f>
        <x:v>PriceCharting</x:v>
      </x:c>
      <x:c r="AQ961" s="9"/>
      <x:c r="AR961" s="9"/>
      <x:c r="AS961" s="9"/>
      <x:c r="AT961" s="9"/>
      <x:c r="AU961" s="9"/>
      <x:c r="AV961" s="9"/>
      <x:c r="AW961" s="9"/>
      <x:c r="AX961" s="9"/>
      <x:c r="AY961" s="9"/>
      <x:c r="AZ961" s="9"/>
      <x:c r="BA961" s="11" t="str">
        <x:f>HYPERLINK("https://www.mobygames.com/search/?q=Commander+Blood","MobyGames")</x:f>
        <x:v>MobyGames</x:v>
      </x:c>
      <x:c r="BB961" s="9" t="str"/>
      <x:c r="BC961" s="9" t="str"/>
      <x:c r="BD961" s="9"/>
      <x:c r="BE961" s="11" t="str">
        <x:f>HYPERLINK("https://en.wikipedia.org/wiki/Commander_Blood","Wikipedia")</x:f>
        <x:v>Wikipedia</x:v>
      </x:c>
      <x:c r="BF961" s="11" t="str">
        <x:f>HYPERLINK("https://backloggd.com/search/games/Commander%20Blood/","Backloggd")</x:f>
        <x:v>Backloggd</x:v>
      </x:c>
      <x:c r="BG961" s="9"/>
      <x:c r="BH961" s="9"/>
      <x:c r="BI961" s="12" t="str">
        <x:v>No</x:v>
      </x:c>
      <x:c r="BJ961" s="12" t="str"/>
      <x:c r="BK961" s="12" t="str">
        <x:v>No</x:v>
      </x:c>
      <x:c r="BL961" s="12" t="str"/>
      <x:c r="BM961" s="12" t="str"/>
      <x:c r="BN961" s="12" t="str"/>
      <x:c r="BO961" s="12" t="str"/>
      <x:c r="BP961" s="12" t="str"/>
      <x:c r="BQ961" s="12" t="str"/>
    </x:row>
    <x:row r="962">
      <x:c r="A962" s="9" t="str">
        <x:v>pc-281</x:v>
      </x:c>
      <x:c r="B962" s="9" t="str">
        <x:v>bloodwings-pumpkinheads-revenge</x:v>
      </x:c>
      <x:c r="C962" s="9" t="str">
        <x:v>PC</x:v>
      </x:c>
      <x:c r="D962" s="9" t="str">
        <x:v>Bloodwings: Pumpkinhead's Revenge</x:v>
      </x:c>
      <x:c r="E962" s="9" t="str"/>
      <x:c r="F962" s="9" t="str">
        <x:v>BAP Interactive</x:v>
      </x:c>
      <x:c r="G962" s="9" t="str">
        <x:v>Electronic Arts</x:v>
      </x:c>
      <x:c r="H962" s="9" t="n">
        <x:v>1995</x:v>
      </x:c>
      <x:c r="I962" s="9" t="str">
        <x:v>Yes</x:v>
      </x:c>
      <x:c r="J962" s="9" t="str">
        <x:v>No</x:v>
      </x:c>
      <x:c r="K962" s="9" t="str">
        <x:v>Yes</x:v>
      </x:c>
      <x:c r="L962" s="9" t="str">
        <x:v>No</x:v>
      </x:c>
      <x:c r="M962" s="9" t="str">
        <x:v>First-person shooter with film clips</x:v>
      </x:c>
      <x:c r="N962" s="9" t="str">
        <x:v>Film footage</x:v>
      </x:c>
      <x:c r="O962" s="9" t="n">
        <x:v>5</x:v>
      </x:c>
      <x:c r="P962" s="9" t="str">
        <x:v>Interactive movie</x:v>
      </x:c>
      <x:c r="Q962" s="9" t="str">
        <x:v>Released</x:v>
      </x:c>
      <x:c r="R962" s="9" t="str">
        <x:v>Original production</x:v>
      </x:c>
      <x:c r="S962" s="9"/>
      <x:c r="T962" s="9" t="str">
        <x:v>Ami Dolenz and Soleil Moon Frye filmed extra scenes; footage from Pumpkinhead II: Blood Wings</x:v>
      </x:c>
      <x:c r="U962" s="9" t="n">
        <x:v>1</x:v>
      </x:c>
      <x:c r="V962" s="9" t="str">
        <x:v>Yes</x:v>
      </x:c>
      <x:c r="W962" s="9" t="str">
        <x:v>MS-DOS, 486, 8 MB RAM, 2x CD-ROM (verify)</x:v>
      </x:c>
      <x:c r="X962" s="9" t="str">
        <x:v>Med–High</x:v>
      </x:c>
      <x:c r="Y962" s="9" t="str">
        <x:v>Pumpkinhead II film footage</x:v>
      </x:c>
      <x:c r="Z962" s="9" t="str">
        <x:v>3–4 hr</x:v>
      </x:c>
      <x:c r="AA962" s="9" t="str">
        <x:v>A Doom clone built on the sets of Pumpkinhead II, where every kill unlocks a clip of the film you grab items out of; critics put it at the bottom of the barrel.</x:v>
      </x:c>
      <x:c r="AB962" s="9" t="str">
        <x:v>None known</x:v>
      </x:c>
      <x:c r="AC962" s="9" t="str">
        <x:v>Film clips triggered by 'Tantanik Crystals', plus game-only scenes shot during the film's production</x:v>
      </x:c>
      <x:c r="AD962" s="9" t="str">
        <x:v>Hard; maze navigation was the main complaint</x:v>
      </x:c>
      <x:c r="AE962" s="9" t="str">
        <x:v>One</x:v>
      </x:c>
      <x:c r="AF962" s="9" t="str">
        <x:v>Developed alongside the film with its sets, actors and props. PC Gamer 46%, Computer Game Review 60/59/50, Entertainment Weekly C; CGW's Tasos Kaiafas called it maybe the bottom of the barrel of Doom clones.</x:v>
      </x:c>
      <x:c r="AG962" s="9" t="str">
        <x:v>DOS CD-ROM</x:v>
      </x:c>
      <x:c r="AH962" s="9" t="str">
        <x:v>No</x:v>
      </x:c>
      <x:c r="AI962" s="9" t="str">
        <x:v>Easy</x:v>
      </x:c>
      <x:c r="AJ962" s="9" t="str">
        <x:v>Original disc in DOSBox or a Windows 9x virtual machine; disc images circulate</x:v>
      </x:c>
      <x:c r="AK962" s="9"/>
      <x:c r="AL962" s="10"/>
      <x:c r="AM962" s="10"/>
      <x:c r="AN962" s="10"/>
      <x:c r="AO962" s="9"/>
      <x:c r="AP962" s="11" t="str">
        <x:f>HYPERLINK("https://www.pricecharting.com/search-products?q=Bloodwings%3A+Pumpkinhead%27s+Revenge+pc+games&amp;type=prices","PriceCharting")</x:f>
        <x:v>PriceCharting</x:v>
      </x:c>
      <x:c r="AQ962" s="9"/>
      <x:c r="AR962" s="9"/>
      <x:c r="AS962" s="9"/>
      <x:c r="AT962" s="9"/>
      <x:c r="AU962" s="9" t="str">
        <x:v>No market</x:v>
      </x:c>
      <x:c r="AV962" s="9" t="str">
        <x:v>Not sold on Steam or GOG (checked 2026-10-25) and no PriceCharting listing.</x:v>
      </x:c>
      <x:c r="AW962" s="9"/>
      <x:c r="AX962" s="9"/>
      <x:c r="AY962" s="9" t="str">
        <x:v>41%</x:v>
      </x:c>
      <x:c r="AZ962" s="9" t="str">
        <x:v>1.4</x:v>
      </x:c>
      <x:c r="BA962" s="11" t="str">
        <x:f>HYPERLINK("https://www.mobygames.com/game/dos/bloodwings-pumpkinheads-revenge","MobyGames")</x:f>
        <x:v>MobyGames</x:v>
      </x:c>
      <x:c r="BB962" s="9" t="str">
        <x:v>46%</x:v>
      </x:c>
      <x:c r="BC962" s="9" t="str">
        <x:v>PC Gamer (US), 1 review</x:v>
      </x:c>
      <x:c r="BD962" s="9" t="str">
        <x:f>HYPERLINK("https://en.wikipedia.org/wiki/Bloodwings:_Pumpkinhead%27s_Revenge","Source")</x:f>
        <x:v>Source</x:v>
      </x:c>
      <x:c r="BE962" s="11" t="str">
        <x:f>HYPERLINK("https://en.wikipedia.org/wiki/Bloodwings:_Pumpkinhead%27s_Revenge","Wikipedia")</x:f>
        <x:v>Wikipedia</x:v>
      </x:c>
      <x:c r="BF962" s="11" t="str">
        <x:f>HYPERLINK("https://backloggd.com/search/games/Bloodwings%3A%20Pumpkinhead%27s%20Revenge/","Backloggd")</x:f>
        <x:v>Backloggd</x:v>
      </x:c>
      <x:c r="BG962" s="9"/>
      <x:c r="BH962" s="9"/>
      <x:c r="BI962" s="12" t="str">
        <x:v>No</x:v>
      </x:c>
      <x:c r="BJ962" s="12" t="str"/>
      <x:c r="BK962" s="12" t="str">
        <x:v>No</x:v>
      </x:c>
      <x:c r="BL962" s="12" t="str"/>
      <x:c r="BM962" s="12" t="str"/>
      <x:c r="BN962" s="12" t="str"/>
      <x:c r="BO962" s="12" t="str"/>
      <x:c r="BP962" s="12" t="str"/>
      <x:c r="BQ962" s="12" t="str"/>
    </x:row>
    <x:row r="963">
      <x:c r="A963" s="9" t="str">
        <x:v>pc-282</x:v>
      </x:c>
      <x:c r="B963" s="9" t="str">
        <x:v>reelect-jfk</x:v>
      </x:c>
      <x:c r="C963" s="9" t="str">
        <x:v>PC</x:v>
      </x:c>
      <x:c r="D963" s="9" t="str">
        <x:v>Reelect JFK</x:v>
      </x:c>
      <x:c r="E963" s="9" t="str"/>
      <x:c r="F963" s="9" t="str">
        <x:v>Viking Entertainment</x:v>
      </x:c>
      <x:c r="G963" s="9" t="str">
        <x:v>Quadra Interactive</x:v>
      </x:c>
      <x:c r="H963" s="9" t="n">
        <x:v>1994</x:v>
      </x:c>
      <x:c r="I963" s="9" t="str">
        <x:v>Yes</x:v>
      </x:c>
      <x:c r="J963" s="9" t="str">
        <x:v>No</x:v>
      </x:c>
      <x:c r="K963" s="9" t="str">
        <x:v>Yes</x:v>
      </x:c>
      <x:c r="L963" s="9" t="str">
        <x:v>No</x:v>
      </x:c>
      <x:c r="M963" s="9" t="str">
        <x:v>Alternate-history political adventure</x:v>
      </x:c>
      <x:c r="N963" s="9" t="str">
        <x:v>Live-action</x:v>
      </x:c>
      <x:c r="O963" s="9" t="n">
        <x:v>7</x:v>
      </x:c>
      <x:c r="P963" s="9" t="str">
        <x:v>FMV adventure</x:v>
      </x:c>
      <x:c r="Q963" s="9" t="str">
        <x:v>Released</x:v>
      </x:c>
      <x:c r="R963" s="9" t="str">
        <x:v>Original production</x:v>
      </x:c>
      <x:c r="S963" s="9" t="str">
        <x:v>Macintosh</x:v>
      </x:c>
      <x:c r="T963" s="9" t="str">
        <x:v>Impersonators as John F. Kennedy, Jackie Kennedy, Robert F. Kennedy and John F. Kennedy Jr. (names verify)</x:v>
      </x:c>
      <x:c r="U963" s="9" t="n">
        <x:v>1</x:v>
      </x:c>
      <x:c r="V963" s="9" t="str">
        <x:v>Yes</x:v>
      </x:c>
      <x:c r="W963" s="9" t="str">
        <x:v>Windows 3.1, 486, 8 MB RAM, 2x CD-ROM (verify)</x:v>
      </x:c>
      <x:c r="X963" s="9" t="str">
        <x:v>Low</x:v>
      </x:c>
      <x:c r="Y963" s="9" t="str"/>
      <x:c r="Z963" s="9" t="str">
        <x:v>6–10 hr</x:v>
      </x:c>
      <x:c r="AA963" s="9" t="str">
        <x:v>Kennedy survives Dallas and you run his 1964 campaign through filmed meetings, going undercover as a reporter to dodge the Secret Service.</x:v>
      </x:c>
      <x:c r="AB963" s="9" t="str">
        <x:v>None known</x:v>
      </x:c>
      <x:c r="AC963" s="9" t="str">
        <x:v>Filmed meetings in QuickTime 2.0; investigation locations are rendered stills</x:v>
      </x:c>
      <x:c r="AD963" s="9" t="str">
        <x:v>Moderate; a day per week over 50 weeks</x:v>
      </x:c>
      <x:c r="AE963" s="9" t="str">
        <x:v>Win or lose the election</x:v>
      </x:c>
      <x:c r="AF963" s="9" t="str">
        <x:v>Macworld's RPG Game of the Year for 1995. Some version 1.1 discs are unsolvable because of a manufacturing error ('a zero in that file somewhere that should be a one', per its programmer); no patch exists. Needs QuickTime 2.x.</x:v>
      </x:c>
      <x:c r="AG963" s="9" t="str">
        <x:v>Windows 3.1 and Macintosh; v1.1 discs may be unsolvable</x:v>
      </x:c>
      <x:c r="AH963" s="9" t="str">
        <x:v>No</x:v>
      </x:c>
      <x:c r="AI963" s="9" t="str">
        <x:v>Easy</x:v>
      </x:c>
      <x:c r="AJ963" s="9" t="str">
        <x:v>Original disc in DOSBox or a Windows 9x virtual machine; disc images circulate</x:v>
      </x:c>
      <x:c r="AK963" s="9" t="str">
        <x:v>Giant Bomb and the game's wiki are the sources; no professional scores found.</x:v>
      </x:c>
      <x:c r="AL963" s="10"/>
      <x:c r="AM963" s="10"/>
      <x:c r="AN963" s="10"/>
      <x:c r="AO963" s="9"/>
      <x:c r="AP963" s="11" t="str">
        <x:f>HYPERLINK("https://www.pricecharting.com/search-products?q=Reelect+JFK+pc+games&amp;type=prices","PriceCharting")</x:f>
        <x:v>PriceCharting</x:v>
      </x:c>
      <x:c r="AQ963" s="9"/>
      <x:c r="AR963" s="9"/>
      <x:c r="AS963" s="9"/>
      <x:c r="AT963" s="9"/>
      <x:c r="AU963" s="9" t="str">
        <x:v>No market</x:v>
      </x:c>
      <x:c r="AV963" s="9" t="str">
        <x:v>Not sold on Steam or GOG (checked 2026-10-25) and no PriceCharting listing.</x:v>
      </x:c>
      <x:c r="AW963" s="9"/>
      <x:c r="AX963" s="9"/>
      <x:c r="AY963" s="9"/>
      <x:c r="AZ963" s="9"/>
      <x:c r="BA963" s="11" t="str">
        <x:f>HYPERLINK("https://www.mobygames.com/search/?q=Reelect+JFK","MobyGames")</x:f>
        <x:v>MobyGames</x:v>
      </x:c>
      <x:c r="BB963" s="9" t="str"/>
      <x:c r="BC963" s="9" t="str"/>
      <x:c r="BD963" s="9"/>
      <x:c r="BE963" s="9"/>
      <x:c r="BF963" s="11" t="str">
        <x:f>HYPERLINK("https://backloggd.com/search/games/Reelect%20JFK/","Backloggd")</x:f>
        <x:v>Backloggd</x:v>
      </x:c>
      <x:c r="BG963" s="9"/>
      <x:c r="BH963" s="9"/>
      <x:c r="BI963" s="12" t="str">
        <x:v>No</x:v>
      </x:c>
      <x:c r="BJ963" s="12" t="str"/>
      <x:c r="BK963" s="12" t="str">
        <x:v>No</x:v>
      </x:c>
      <x:c r="BL963" s="12" t="str"/>
      <x:c r="BM963" s="12" t="str"/>
      <x:c r="BN963" s="12" t="str"/>
      <x:c r="BO963" s="12" t="str"/>
      <x:c r="BP963" s="12" t="str"/>
      <x:c r="BQ963" s="12" t="str"/>
    </x:row>
    <x:row r="964">
      <x:c r="A964" s="9" t="str">
        <x:v>pc-283</x:v>
      </x:c>
      <x:c r="B964" s="9" t="str">
        <x:v>isis-1995</x:v>
      </x:c>
      <x:c r="C964" s="9" t="str">
        <x:v>PC</x:v>
      </x:c>
      <x:c r="D964" s="9" t="str">
        <x:v>Isis</x:v>
      </x:c>
      <x:c r="E964" s="9" t="str"/>
      <x:c r="F964" s="9" t="str">
        <x:v>Panasonic Interactive Media (verify)</x:v>
      </x:c>
      <x:c r="G964" s="9" t="str">
        <x:v>Panasonic Interactive Media</x:v>
      </x:c>
      <x:c r="H964" s="9" t="n">
        <x:v>1995</x:v>
      </x:c>
      <x:c r="I964" s="9" t="str">
        <x:v>Yes</x:v>
      </x:c>
      <x:c r="J964" s="9" t="str">
        <x:v>No</x:v>
      </x:c>
      <x:c r="K964" s="9" t="str">
        <x:v>Yes</x:v>
      </x:c>
      <x:c r="L964" s="9" t="str">
        <x:v>No</x:v>
      </x:c>
      <x:c r="M964" s="9" t="str">
        <x:v>Science-fiction adventure</x:v>
      </x:c>
      <x:c r="N964" s="9" t="str">
        <x:v>Live-action and CG</x:v>
      </x:c>
      <x:c r="O964" s="9" t="n">
        <x:v>6</x:v>
      </x:c>
      <x:c r="P964" s="9" t="str">
        <x:v>FMV adventure</x:v>
      </x:c>
      <x:c r="Q964" s="9" t="str">
        <x:v>Released</x:v>
      </x:c>
      <x:c r="R964" s="9" t="str">
        <x:v>Original production</x:v>
      </x:c>
      <x:c r="S964" s="9" t="str">
        <x:v>Macintosh</x:v>
      </x:c>
      <x:c r="T964" s="9" t="str">
        <x:v>Made with Earth, Wind &amp; Fire; live-action director credited (cast verify)</x:v>
      </x:c>
      <x:c r="U964" s="9" t="n">
        <x:v>1</x:v>
      </x:c>
      <x:c r="V964" s="9" t="str">
        <x:v>Yes</x:v>
      </x:c>
      <x:c r="W964" s="9" t="str">
        <x:v>Windows 3.1, 486, 8 MB RAM, 2x CD-ROM (verify)</x:v>
      </x:c>
      <x:c r="X964" s="9" t="str">
        <x:v>Med</x:v>
      </x:c>
      <x:c r="Y964" s="9" t="str">
        <x:v>Earth, Wind &amp; Fire music</x:v>
      </x:c>
      <x:c r="Z964" s="9" t="str">
        <x:v>4–6 hr</x:v>
      </x:c>
      <x:c r="AA964" s="9" t="str">
        <x:v>An Earth, Wind &amp; Fire adventure: wake the sleeping music ship Isis by finding its gems, with a live-action director on the credits.</x:v>
      </x:c>
      <x:c r="AB964" s="9" t="str">
        <x:v>None known</x:v>
      </x:c>
      <x:c r="AC964" s="9" t="str">
        <x:v>Filmed characters over rendered worlds (verify)</x:v>
      </x:c>
      <x:c r="AD964" s="9" t="str">
        <x:v>Moderate</x:v>
      </x:c>
      <x:c r="AE964" s="9" t="str">
        <x:v>One</x:v>
      </x:c>
      <x:c r="AF964" s="9" t="str">
        <x:v>A 3DO version was advertised in 1995 and never released. MobyGames critic score 56% from 7 ratings.</x:v>
      </x:c>
      <x:c r="AG964" s="9" t="str">
        <x:v>Windows 3.x and Macintosh</x:v>
      </x:c>
      <x:c r="AH964" s="9" t="str">
        <x:v>No</x:v>
      </x:c>
      <x:c r="AI964" s="9" t="str">
        <x:v>Easy</x:v>
      </x:c>
      <x:c r="AJ964" s="9" t="str">
        <x:v>Original disc in DOSBox or a Windows 9x virtual machine; disc images circulate</x:v>
      </x:c>
      <x:c r="AK964" s="9" t="str">
        <x:v>FMV World dates it 1994; MobyGames does not show a date (verify).</x:v>
      </x:c>
      <x:c r="AL964" s="10"/>
      <x:c r="AM964" s="10"/>
      <x:c r="AN964" s="10"/>
      <x:c r="AO964" s="9"/>
      <x:c r="AP964" s="11" t="str">
        <x:f>HYPERLINK("https://www.pricecharting.com/search-products?q=Isis+pc+games&amp;type=prices","PriceCharting")</x:f>
        <x:v>PriceCharting</x:v>
      </x:c>
      <x:c r="AQ964" s="9"/>
      <x:c r="AR964" s="9"/>
      <x:c r="AS964" s="9"/>
      <x:c r="AT964" s="9"/>
      <x:c r="AU964" s="9" t="str">
        <x:v>No market</x:v>
      </x:c>
      <x:c r="AV964" s="9" t="str">
        <x:v>Not sold on Steam or GOG (checked 2026-10-25) and no PriceCharting listing.</x:v>
      </x:c>
      <x:c r="AW964" s="9"/>
      <x:c r="AX964" s="9"/>
      <x:c r="AY964" s="9" t="str">
        <x:v>56%</x:v>
      </x:c>
      <x:c r="AZ964" s="9" t="str">
        <x:v>2.2</x:v>
      </x:c>
      <x:c r="BA964" s="11" t="str">
        <x:f>HYPERLINK("https://www.mobygames.com/game/13712/isis/","MobyGames")</x:f>
        <x:v>MobyGames</x:v>
      </x:c>
      <x:c r="BB964" s="9" t="str"/>
      <x:c r="BC964" s="9" t="str"/>
      <x:c r="BD964" s="9"/>
      <x:c r="BE964" s="9"/>
      <x:c r="BF964" s="11" t="str">
        <x:f>HYPERLINK("https://backloggd.com/search/games/Isis/","Backloggd")</x:f>
        <x:v>Backloggd</x:v>
      </x:c>
      <x:c r="BG964" s="9"/>
      <x:c r="BH964" s="9"/>
      <x:c r="BI964" s="12" t="str">
        <x:v>No</x:v>
      </x:c>
      <x:c r="BJ964" s="12" t="str"/>
      <x:c r="BK964" s="12" t="str">
        <x:v>No</x:v>
      </x:c>
      <x:c r="BL964" s="12" t="str"/>
      <x:c r="BM964" s="12" t="str"/>
      <x:c r="BN964" s="12" t="str"/>
      <x:c r="BO964" s="12" t="str"/>
      <x:c r="BP964" s="12" t="str"/>
      <x:c r="BQ964" s="12" t="str"/>
    </x:row>
    <x:row r="965">
      <x:c r="A965" s="9" t="str">
        <x:v>pc-284</x:v>
      </x:c>
      <x:c r="B965" s="9" t="str">
        <x:v>connections-1995</x:v>
      </x:c>
      <x:c r="C965" s="9" t="str">
        <x:v>PC</x:v>
      </x:c>
      <x:c r="D965" s="9" t="str">
        <x:v>Connections</x:v>
      </x:c>
      <x:c r="E965" s="9" t="str"/>
      <x:c r="F965" s="9" t="str">
        <x:v>Discovery Channel Multimedia; Some Interactive</x:v>
      </x:c>
      <x:c r="G965" s="9" t="str">
        <x:v>Discovery Channel Multimedia</x:v>
      </x:c>
      <x:c r="H965" s="9" t="n">
        <x:v>1995</x:v>
      </x:c>
      <x:c r="I965" s="9" t="str">
        <x:v>Yes</x:v>
      </x:c>
      <x:c r="J965" s="9" t="str">
        <x:v>No</x:v>
      </x:c>
      <x:c r="K965" s="9" t="str">
        <x:v>Yes</x:v>
      </x:c>
      <x:c r="L965" s="9" t="str">
        <x:v>No</x:v>
      </x:c>
      <x:c r="M965" s="9" t="str">
        <x:v>Educational adventure</x:v>
      </x:c>
      <x:c r="N965" s="9" t="str">
        <x:v>Live-action</x:v>
      </x:c>
      <x:c r="O965" s="9" t="n">
        <x:v>6</x:v>
      </x:c>
      <x:c r="P965" s="9" t="str">
        <x:v>FMV adventure</x:v>
      </x:c>
      <x:c r="Q965" s="9" t="str">
        <x:v>Released</x:v>
      </x:c>
      <x:c r="R965" s="9" t="str">
        <x:v>Original production</x:v>
      </x:c>
      <x:c r="S965" s="9" t="str">
        <x:v>Macintosh</x:v>
      </x:c>
      <x:c r="T965" s="9" t="str">
        <x:v>James Burke (verify)</x:v>
      </x:c>
      <x:c r="U965" s="9" t="n">
        <x:v>1</x:v>
      </x:c>
      <x:c r="V965" s="9" t="str">
        <x:v>Yes</x:v>
      </x:c>
      <x:c r="W965" s="9" t="str">
        <x:v>Windows 3.1, 486, 8 MB RAM, 2x CD-ROM (verify)</x:v>
      </x:c>
      <x:c r="X965" s="9" t="str">
        <x:v>Med</x:v>
      </x:c>
      <x:c r="Y965" s="9" t="str">
        <x:v>Discovery/TLC footage</x:v>
      </x:c>
      <x:c r="Z965" s="9" t="str">
        <x:v>6–8 hr</x:v>
      </x:c>
      <x:c r="AA965" s="9" t="str">
        <x:v>James Burke's TV series as a Myst-style puzzle game: fix a broken program by finding the connections that link the world, with video at every turn.</x:v>
      </x:c>
      <x:c r="AB965" s="9" t="str">
        <x:v>None known</x:v>
      </x:c>
      <x:c r="AC965" s="9" t="str">
        <x:v>FMV clips between graphic screens, in the style of the TLC series</x:v>
      </x:c>
      <x:c r="AD965" s="9" t="str">
        <x:v>Hard; AllGame warned of endless frustration</x:v>
      </x:c>
      <x:c r="AE965" s="9" t="str">
        <x:v>One</x:v>
      </x:c>
      <x:c r="AF965" s="9" t="str">
        <x:v>Computer Gaming World 5/5, AllGame 4/5, Macworld 4/5, Entertainment Weekly C ('Myst with a twist'), MacUser 3/5.</x:v>
      </x:c>
      <x:c r="AG965" s="9" t="str">
        <x:v>Windows 3.x/95 and Macintosh</x:v>
      </x:c>
      <x:c r="AH965" s="9" t="str">
        <x:v>No</x:v>
      </x:c>
      <x:c r="AI965" s="9" t="str">
        <x:v>Easy</x:v>
      </x:c>
      <x:c r="AJ965" s="9" t="str">
        <x:v>Original disc in DOSBox or a Windows 9x virtual machine; disc images circulate</x:v>
      </x:c>
      <x:c r="AK965" s="9"/>
      <x:c r="AL965" s="10"/>
      <x:c r="AM965" s="10"/>
      <x:c r="AN965" s="10"/>
      <x:c r="AO965" s="9"/>
      <x:c r="AP965" s="11" t="str">
        <x:f>HYPERLINK("https://www.pricecharting.com/search-products?q=Connections+pc+games&amp;type=prices","PriceCharting")</x:f>
        <x:v>PriceCharting</x:v>
      </x:c>
      <x:c r="AQ965" s="9"/>
      <x:c r="AR965" s="9"/>
      <x:c r="AS965" s="9"/>
      <x:c r="AT965" s="9"/>
      <x:c r="AU965" s="9" t="str">
        <x:v>No market</x:v>
      </x:c>
      <x:c r="AV965" s="9" t="str">
        <x:v>Not sold on Steam or GOG (checked 2026-10-25) and no PriceCharting listing.</x:v>
      </x:c>
      <x:c r="AW965" s="9"/>
      <x:c r="AX965" s="9"/>
      <x:c r="AY965" s="9" t="str">
        <x:v>67%</x:v>
      </x:c>
      <x:c r="AZ965" s="9"/>
      <x:c r="BA965" s="11" t="str">
        <x:f>HYPERLINK("https://www.mobygames.com/game/windows/connections","MobyGames")</x:f>
        <x:v>MobyGames</x:v>
      </x:c>
      <x:c r="BB965" s="9" t="str">
        <x:v>80%</x:v>
      </x:c>
      <x:c r="BC965" s="9" t="str">
        <x:v>Wikipedia review table, 6 reviews (approx.)</x:v>
      </x:c>
      <x:c r="BD965" s="9" t="str">
        <x:f>HYPERLINK("https://en.wikipedia.org/wiki/Connections_(1995_video_game)","Source")</x:f>
        <x:v>Source</x:v>
      </x:c>
      <x:c r="BE965" s="11" t="str">
        <x:f>HYPERLINK("https://en.wikipedia.org/wiki/Connections_(1995_video_game)","Wikipedia")</x:f>
        <x:v>Wikipedia</x:v>
      </x:c>
      <x:c r="BF965" s="11" t="str">
        <x:f>HYPERLINK("https://backloggd.com/search/games/Connections/","Backloggd")</x:f>
        <x:v>Backloggd</x:v>
      </x:c>
      <x:c r="BG965" s="9"/>
      <x:c r="BH965" s="9"/>
      <x:c r="BI965" s="12" t="str">
        <x:v>No</x:v>
      </x:c>
      <x:c r="BJ965" s="12" t="str"/>
      <x:c r="BK965" s="12" t="str">
        <x:v>No</x:v>
      </x:c>
      <x:c r="BL965" s="12" t="str"/>
      <x:c r="BM965" s="12" t="str"/>
      <x:c r="BN965" s="12" t="str"/>
      <x:c r="BO965" s="12" t="str"/>
      <x:c r="BP965" s="12" t="str"/>
      <x:c r="BQ965" s="12" t="str"/>
    </x:row>
    <x:row r="966">
      <x:c r="A966" s="9" t="str">
        <x:v>pc-285</x:v>
      </x:c>
      <x:c r="B966" s="9" t="str">
        <x:v>paparazzi-tales-of-tinseltown</x:v>
      </x:c>
      <x:c r="C966" s="9" t="str">
        <x:v>PC</x:v>
      </x:c>
      <x:c r="D966" s="9" t="str">
        <x:v>Paparazzi!: Tales of Tinseltown</x:v>
      </x:c>
      <x:c r="E966" s="9" t="str"/>
      <x:c r="F966" s="9" t="str">
        <x:v>Museworthy</x:v>
      </x:c>
      <x:c r="G966" s="9" t="str">
        <x:v>Activision</x:v>
      </x:c>
      <x:c r="H966" s="9" t="n">
        <x:v>1995</x:v>
      </x:c>
      <x:c r="I966" s="9" t="str">
        <x:v>Yes</x:v>
      </x:c>
      <x:c r="J966" s="9" t="str">
        <x:v>No</x:v>
      </x:c>
      <x:c r="K966" s="9" t="str">
        <x:v>Yes</x:v>
      </x:c>
      <x:c r="L966" s="9" t="str">
        <x:v>No</x:v>
      </x:c>
      <x:c r="M966" s="9" t="str">
        <x:v>Interactive movie</x:v>
      </x:c>
      <x:c r="N966" s="9" t="str">
        <x:v>Live-action</x:v>
      </x:c>
      <x:c r="O966" s="9" t="n">
        <x:v>9</x:v>
      </x:c>
      <x:c r="P966" s="9" t="str">
        <x:v>Interactive movie</x:v>
      </x:c>
      <x:c r="Q966" s="9" t="str">
        <x:v>Released</x:v>
      </x:c>
      <x:c r="R966" s="9" t="str">
        <x:v>Original production</x:v>
      </x:c>
      <x:c r="S966" s="9" t="str">
        <x:v>Macintosh</x:v>
      </x:c>
      <x:c r="T966" s="9" t="str">
        <x:v>The designers, their friends and family, shot in Dallas over one month in 1994</x:v>
      </x:c>
      <x:c r="U966" s="9" t="n">
        <x:v>1</x:v>
      </x:c>
      <x:c r="V966" s="9" t="str">
        <x:v>Yes</x:v>
      </x:c>
      <x:c r="W966" s="9" t="str">
        <x:v>Windows 3.1, 486, 8 MB RAM, 2x CD-ROM (verify)</x:v>
      </x:c>
      <x:c r="X966" s="9" t="str">
        <x:v>Low</x:v>
      </x:c>
      <x:c r="Y966" s="9" t="str"/>
      <x:c r="Z966" s="9" t="str">
        <x:v>2–3 hr</x:v>
      </x:c>
      <x:c r="AA966" s="9" t="str">
        <x:v>You are a freelance tabloid photographer chasing scandal through filmed scenes; Next Generation said it offered gamers 'a pair of attractive mirrored coasters'.</x:v>
      </x:c>
      <x:c r="AB966" s="9" t="str">
        <x:v>None known</x:v>
      </x:c>
      <x:c r="AC966" s="9" t="str">
        <x:v>Filmed scenes cut in Director and Premiere; most of the play is choosing where to point the camera</x:v>
      </x:c>
      <x:c r="AD966" s="9" t="str">
        <x:v>Easy</x:v>
      </x:c>
      <x:c r="AE966" s="9" t="str">
        <x:v>Several</x:v>
      </x:c>
      <x:c r="AF966" s="9" t="str">
        <x:v>Fourteen reviews from 'Try It' to 1/5: Computer Game Review 80, PC Gamer 47%, Power Play 32%. Made in four months; a contract dispute with Activision killed the finished sequel Shyster!.</x:v>
      </x:c>
      <x:c r="AG966" s="9" t="str">
        <x:v>Windows 3.x/95 and Macintosh</x:v>
      </x:c>
      <x:c r="AH966" s="9" t="str">
        <x:v>No</x:v>
      </x:c>
      <x:c r="AI966" s="9" t="str">
        <x:v>Easy</x:v>
      </x:c>
      <x:c r="AJ966" s="9" t="str">
        <x:v>Original disc in DOSBox or a Windows 9x virtual machine; disc images circulate</x:v>
      </x:c>
      <x:c r="AK966" s="9"/>
      <x:c r="AL966" s="10"/>
      <x:c r="AM966" s="10"/>
      <x:c r="AN966" s="10"/>
      <x:c r="AO966" s="9"/>
      <x:c r="AP966" s="11" t="str">
        <x:f>HYPERLINK("https://www.pricecharting.com/search-products?q=Paparazzi%21%3A+Tales+of+Tinseltown+pc+games&amp;type=prices","PriceCharting")</x:f>
        <x:v>PriceCharting</x:v>
      </x:c>
      <x:c r="AQ966" s="9"/>
      <x:c r="AR966" s="9"/>
      <x:c r="AS966" s="9"/>
      <x:c r="AT966" s="9"/>
      <x:c r="AU966" s="9" t="str">
        <x:v>No market</x:v>
      </x:c>
      <x:c r="AV966" s="9" t="str">
        <x:v>Not sold on Steam or GOG (checked 2026-10-25) and no PriceCharting listing.</x:v>
      </x:c>
      <x:c r="AW966" s="9"/>
      <x:c r="AX966" s="9"/>
      <x:c r="AY966" s="9"/>
      <x:c r="AZ966" s="9" t="str">
        <x:v>2.7</x:v>
      </x:c>
      <x:c r="BA966" s="11" t="str">
        <x:f>HYPERLINK("https://www.mobygames.com/game/dos/paparazzi-tales-of-tinseltown","MobyGames")</x:f>
        <x:v>MobyGames</x:v>
      </x:c>
      <x:c r="BB966" s="9" t="str">
        <x:v>47%</x:v>
      </x:c>
      <x:c r="BC966" s="9" t="str">
        <x:v>PC Gamer (US), 1 review</x:v>
      </x:c>
      <x:c r="BD966" s="9" t="str">
        <x:f>HYPERLINK("https://en.wikipedia.org/wiki/Paparazzi!:_Tales_of_Tinseltown","Source")</x:f>
        <x:v>Source</x:v>
      </x:c>
      <x:c r="BE966" s="11" t="str">
        <x:f>HYPERLINK("https://en.wikipedia.org/wiki/Paparazzi!:_Tales_of_Tinseltown","Wikipedia")</x:f>
        <x:v>Wikipedia</x:v>
      </x:c>
      <x:c r="BF966" s="11" t="str">
        <x:f>HYPERLINK("https://backloggd.com/search/games/Paparazzi%21%3A%20Tales%20of%20Tinseltown/","Backloggd")</x:f>
        <x:v>Backloggd</x:v>
      </x:c>
      <x:c r="BG966" s="9"/>
      <x:c r="BH966" s="9"/>
      <x:c r="BI966" s="12" t="str">
        <x:v>No</x:v>
      </x:c>
      <x:c r="BJ966" s="12" t="str"/>
      <x:c r="BK966" s="12" t="str">
        <x:v>No</x:v>
      </x:c>
      <x:c r="BL966" s="12" t="str"/>
      <x:c r="BM966" s="12" t="str"/>
      <x:c r="BN966" s="12" t="str"/>
      <x:c r="BO966" s="12" t="str"/>
      <x:c r="BP966" s="12" t="str"/>
      <x:c r="BQ966" s="12" t="str"/>
    </x:row>
    <x:row r="967">
      <x:c r="A967" s="9" t="str">
        <x:v>pc-286</x:v>
      </x:c>
      <x:c r="B967" s="9" t="str">
        <x:v>mode-1996</x:v>
      </x:c>
      <x:c r="C967" s="9" t="str">
        <x:v>PC</x:v>
      </x:c>
      <x:c r="D967" s="9" t="str">
        <x:v>Mode</x:v>
      </x:c>
      <x:c r="E967" s="9" t="str">
        <x:v>[MODE]</x:v>
      </x:c>
      <x:c r="F967" s="9" t="str">
        <x:v>Animatics Multimedia</x:v>
      </x:c>
      <x:c r="G967" s="9" t="str">
        <x:v>Corel</x:v>
      </x:c>
      <x:c r="H967" s="9" t="n">
        <x:v>1996</x:v>
      </x:c>
      <x:c r="I967" s="9" t="str">
        <x:v>Yes</x:v>
      </x:c>
      <x:c r="J967" s="9" t="str">
        <x:v>No</x:v>
      </x:c>
      <x:c r="K967" s="9" t="str">
        <x:v>Yes</x:v>
      </x:c>
      <x:c r="L967" s="9" t="str">
        <x:v>No</x:v>
      </x:c>
      <x:c r="M967" s="9" t="str">
        <x:v>Interactive movie</x:v>
      </x:c>
      <x:c r="N967" s="9" t="str">
        <x:v>Live-action</x:v>
      </x:c>
      <x:c r="O967" s="9" t="n">
        <x:v>10</x:v>
      </x:c>
      <x:c r="P967" s="9" t="str">
        <x:v>Interactive movie</x:v>
      </x:c>
      <x:c r="Q967" s="9" t="str">
        <x:v>Released</x:v>
      </x:c>
      <x:c r="R967" s="9" t="str">
        <x:v>Original production</x:v>
      </x:c>
      <x:c r="S967" s="9"/>
      <x:c r="T967" s="9" t="str">
        <x:v>Chip Chuipka (Vito Brevis), Natalie Grey (Charity Flame), Daniel Richer, W. David Watson, Gloria David, Alexandre Lincourt, Katja Dolleato, Luigi Saracino, Kent Rowe, Cynthia Smith</x:v>
      </x:c>
      <x:c r="U967" s="9" t="n">
        <x:v>3</x:v>
      </x:c>
      <x:c r="V967" s="9" t="str">
        <x:v>Yes</x:v>
      </x:c>
      <x:c r="W967" s="9" t="str">
        <x:v>Windows 95, Pentium, 16 MB RAM, 4x CD-ROM (verify)</x:v>
      </x:c>
      <x:c r="X967" s="9" t="str">
        <x:v>Low</x:v>
      </x:c>
      <x:c r="Y967" s="9" t="str"/>
      <x:c r="Z967" s="9" t="str">
        <x:v>3–5 hr</x:v>
      </x:c>
      <x:c r="AA967" s="9" t="str">
        <x:v>Corel's one shot at interactive movies: talk to a cast of filmed eccentrics through a 'Mood Bar' instead of dialogue options; a PC Gamer pan shut the division down.</x:v>
      </x:c>
      <x:c r="AB967" s="9" t="str">
        <x:v>None known</x:v>
      </x:c>
      <x:c r="AC967" s="9" t="str">
        <x:v>Live-action streamed video; resolution and frame rate Unknown — verify</x:v>
      </x:c>
      <x:c r="AD967" s="9" t="str">
        <x:v>Easy</x:v>
      </x:c>
      <x:c r="AE967" s="9" t="str">
        <x:v>Several</x:v>
      </x:c>
      <x:c r="AF967" s="9" t="str">
        <x:v>Jeff Green's second FMV with Animatics after Midnight Stranger. Finalist for the 1996 Macromedia People's Choice Award. Never fully released; Corel sold the assets after the review. Edited playthroughs passed 100,000 YouTube views.</x:v>
      </x:c>
      <x:c r="AG967" s="9" t="str">
        <x:v>3-CD Windows release; Club Mode web site</x:v>
      </x:c>
      <x:c r="AH967" s="9" t="str">
        <x:v>No verified current official digital re-release; original discs secondhand</x:v>
      </x:c>
      <x:c r="AI967" s="9" t="str">
        <x:v>Easy</x:v>
      </x:c>
      <x:c r="AJ967" s="9" t="str">
        <x:v>Buy the original three-disc Windows/Mac hybrid secondhand; use suitable period hardware or a compatible virtual machine. No verified current official digital product.</x:v>
      </x:c>
      <x:c r="AK967" s="9" t="str">
        <x:v>Audit: English Canadian release confirmed. EU/JP distribution and supplementary technical fields Unknown — verify. Historical creator ordering links do not establish a working current checkout.</x:v>
      </x:c>
      <x:c r="AL967" s="10"/>
      <x:c r="AM967" s="10"/>
      <x:c r="AN967" s="10"/>
      <x:c r="AO967" s="9"/>
      <x:c r="AP967" s="11" t="str">
        <x:f>HYPERLINK("https://www.pricecharting.com/search-products?q=Mode+pc+games&amp;type=prices","PriceCharting")</x:f>
        <x:v>PriceCharting</x:v>
      </x:c>
      <x:c r="AQ967" s="9"/>
      <x:c r="AR967" s="9"/>
      <x:c r="AS967" s="9"/>
      <x:c r="AT967" s="9"/>
      <x:c r="AU967" s="9" t="str">
        <x:v>No market</x:v>
      </x:c>
      <x:c r="AV967" s="9" t="str">
        <x:v>Not sold on Steam or GOG (checked 2026-10-25) and no PriceCharting listing.</x:v>
      </x:c>
      <x:c r="AW967" s="9"/>
      <x:c r="AX967" s="9"/>
      <x:c r="AY967" s="9"/>
      <x:c r="AZ967" s="9"/>
      <x:c r="BA967" s="11" t="str">
        <x:f>HYPERLINK("https://www.mobygames.com/search/?q=Mode","MobyGames")</x:f>
        <x:v>MobyGames</x:v>
      </x:c>
      <x:c r="BB967" s="9" t="str">
        <x:v>22%</x:v>
      </x:c>
      <x:c r="BC967" s="9" t="str">
        <x:v>GameRankings, 1 review</x:v>
      </x:c>
      <x:c r="BD967" s="9" t="str">
        <x:f>HYPERLINK("https://web.archive.org/web/20191209011447id_/https://www.gamerankings.com/pc/197966-mode/","Source")</x:f>
        <x:v>Source</x:v>
      </x:c>
      <x:c r="BE967" s="11" t="str">
        <x:f>HYPERLINK("https://en.wikipedia.org/wiki/Mode_(video_game)","Wikipedia")</x:f>
        <x:v>Wikipedia</x:v>
      </x:c>
      <x:c r="BF967" s="11" t="str">
        <x:f>HYPERLINK("https://backloggd.com/search/games/Mode/","Backloggd")</x:f>
        <x:v>Backloggd</x:v>
      </x:c>
      <x:c r="BG967" s="9"/>
      <x:c r="BH967" s="9"/>
      <x:c r="BI967" s="12" t="str">
        <x:v>No</x:v>
      </x:c>
      <x:c r="BJ967" s="12" t="str"/>
      <x:c r="BK967" s="12" t="str">
        <x:v>No</x:v>
      </x:c>
      <x:c r="BL967" s="12" t="str"/>
      <x:c r="BM967" s="12" t="str"/>
      <x:c r="BN967" s="12" t="str"/>
      <x:c r="BO967" s="12" t="str"/>
      <x:c r="BP967" s="12" t="str"/>
      <x:c r="BQ967" s="12" t="str"/>
    </x:row>
    <x:row r="968">
      <x:c r="A968" s="9" t="str">
        <x:v>pc-287</x:v>
      </x:c>
      <x:c r="B968" s="9" t="str">
        <x:v>piper-1995</x:v>
      </x:c>
      <x:c r="C968" s="9" t="str">
        <x:v>PC</x:v>
      </x:c>
      <x:c r="D968" s="9" t="str">
        <x:v>Piper</x:v>
      </x:c>
      <x:c r="E968" s="9" t="str"/>
      <x:c r="F968" s="9" t="str">
        <x:v>Splash Studios</x:v>
      </x:c>
      <x:c r="G968" s="9" t="str">
        <x:v>Splash Studios (Broderbund Affiliated Label)</x:v>
      </x:c>
      <x:c r="H968" s="9" t="n">
        <x:v>1995</x:v>
      </x:c>
      <x:c r="I968" s="9" t="str">
        <x:v>Yes</x:v>
      </x:c>
      <x:c r="J968" s="9" t="str">
        <x:v>No</x:v>
      </x:c>
      <x:c r="K968" s="9" t="str">
        <x:v>Yes</x:v>
      </x:c>
      <x:c r="L968" s="9" t="str">
        <x:v>No</x:v>
      </x:c>
      <x:c r="M968" s="9" t="str">
        <x:v>Children's interactive movie</x:v>
      </x:c>
      <x:c r="N968" s="9" t="str">
        <x:v>Live-action</x:v>
      </x:c>
      <x:c r="O968" s="9" t="n">
        <x:v>9</x:v>
      </x:c>
      <x:c r="P968" s="9" t="str">
        <x:v>Interactive movie</x:v>
      </x:c>
      <x:c r="Q968" s="9" t="str">
        <x:v>Released</x:v>
      </x:c>
      <x:c r="R968" s="9" t="str">
        <x:v>Original production</x:v>
      </x:c>
      <x:c r="S968" s="9" t="str">
        <x:v>Macintosh (verify)</x:v>
      </x:c>
      <x:c r="T968" s="9" t="str">
        <x:v>Jason David Frank (Piper), Jeff Harry Woolf, Sarah Wayn; 25 cast members</x:v>
      </x:c>
      <x:c r="U968" s="9" t="n">
        <x:v>1</x:v>
      </x:c>
      <x:c r="V968" s="9" t="str">
        <x:v>Yes</x:v>
      </x:c>
      <x:c r="W968" s="9" t="str">
        <x:v>Windows 3.1, 486, 8 MB RAM, 2x CD-ROM (verify)</x:v>
      </x:c>
      <x:c r="X968" s="9" t="str">
        <x:v>Low</x:v>
      </x:c>
      <x:c r="Y968" s="9" t="str"/>
      <x:c r="Z968" s="9" t="str">
        <x:v>1–2 hr</x:v>
      </x:c>
      <x:c r="AA968" s="9" t="str">
        <x:v>The Green Power Ranger as a Western Pied Piper, shot on blue screen with animatronic rats, in 'a movie kids can watch in episodes, punctuated by interactive games'.</x:v>
      </x:c>
      <x:c r="AB968" s="9" t="str">
        <x:v>None known</x:v>
      </x:c>
      <x:c r="AC968" s="9" t="str">
        <x:v>Four filmed episodes with optional commentary, broken up by timed puzzles</x:v>
      </x:c>
      <x:c r="AD968" s="9" t="str">
        <x:v>Easy</x:v>
      </x:c>
      <x:c r="AE968" s="9" t="str">
        <x:v>One</x:v>
      </x:c>
      <x:c r="AF968" s="9" t="str">
        <x:v>Shooting began the day after Mighty Morphin Power Rangers: The Movie premiered; budget over $1 million. A 45-minute video cut was made for TV, and the assets became MSN's Midas Valley Gold Rush.</x:v>
      </x:c>
      <x:c r="AG968" s="9" t="str">
        <x:v>CD-ROM with bonus audio disc of six songs</x:v>
      </x:c>
      <x:c r="AH968" s="9" t="str">
        <x:v>No</x:v>
      </x:c>
      <x:c r="AI968" s="9" t="str">
        <x:v>Easy</x:v>
      </x:c>
      <x:c r="AJ968" s="9" t="str">
        <x:v>Original disc in DOSBox or a Windows 9x virtual machine; disc images circulate</x:v>
      </x:c>
      <x:c r="AK968" s="9"/>
      <x:c r="AL968" s="10"/>
      <x:c r="AM968" s="10"/>
      <x:c r="AN968" s="10"/>
      <x:c r="AO968" s="9"/>
      <x:c r="AP968" s="11" t="str">
        <x:f>HYPERLINK("https://www.pricecharting.com/search-products?q=Piper+pc+games&amp;type=prices","PriceCharting")</x:f>
        <x:v>PriceCharting</x:v>
      </x:c>
      <x:c r="AQ968" s="9"/>
      <x:c r="AR968" s="9"/>
      <x:c r="AS968" s="9"/>
      <x:c r="AT968" s="9"/>
      <x:c r="AU968" s="9" t="str">
        <x:v>No market</x:v>
      </x:c>
      <x:c r="AV968" s="9" t="str">
        <x:v>Not sold on Steam or GOG (checked 2026-10-25) and no PriceCharting listing.</x:v>
      </x:c>
      <x:c r="AW968" s="9"/>
      <x:c r="AX968" s="9"/>
      <x:c r="AY968" s="9"/>
      <x:c r="AZ968" s="9"/>
      <x:c r="BA968" s="11" t="str">
        <x:f>HYPERLINK("https://www.mobygames.com/search/?q=Piper","MobyGames")</x:f>
        <x:v>MobyGames</x:v>
      </x:c>
      <x:c r="BB968" s="9" t="str"/>
      <x:c r="BC968" s="9" t="str"/>
      <x:c r="BD968" s="9"/>
      <x:c r="BE968" s="11" t="str">
        <x:f>HYPERLINK("https://en.wikipedia.org/wiki/Piper_(video_game)","Wikipedia")</x:f>
        <x:v>Wikipedia</x:v>
      </x:c>
      <x:c r="BF968" s="11" t="str">
        <x:f>HYPERLINK("https://backloggd.com/search/games/Piper/","Backloggd")</x:f>
        <x:v>Backloggd</x:v>
      </x:c>
      <x:c r="BG968" s="9"/>
      <x:c r="BH968" s="9"/>
      <x:c r="BI968" s="12" t="str">
        <x:v>No</x:v>
      </x:c>
      <x:c r="BJ968" s="12" t="str"/>
      <x:c r="BK968" s="12" t="str">
        <x:v>No</x:v>
      </x:c>
      <x:c r="BL968" s="12" t="str"/>
      <x:c r="BM968" s="12" t="str"/>
      <x:c r="BN968" s="12" t="str"/>
      <x:c r="BO968" s="12" t="str"/>
      <x:c r="BP968" s="12" t="str"/>
      <x:c r="BQ968" s="12" t="str"/>
    </x:row>
    <x:row r="969">
      <x:c r="A969" s="9" t="str">
        <x:v>pc-288</x:v>
      </x:c>
      <x:c r="B969" s="9" t="str">
        <x:v>chaos-a-fantasy-adventure-game</x:v>
      </x:c>
      <x:c r="C969" s="9" t="str">
        <x:v>PC</x:v>
      </x:c>
      <x:c r="D969" s="9" t="str">
        <x:v>Chaos: A Fantasy Adventure Game</x:v>
      </x:c>
      <x:c r="E969" s="9" t="str"/>
      <x:c r="F969" s="9" t="str">
        <x:v>Cyberdreams (verify)</x:v>
      </x:c>
      <x:c r="G969" s="9" t="str">
        <x:v>Cyberdreams</x:v>
      </x:c>
      <x:c r="H969" s="9" t="n">
        <x:v>1996</x:v>
      </x:c>
      <x:c r="I969" s="9" t="str">
        <x:v>Yes</x:v>
      </x:c>
      <x:c r="J969" s="9" t="str">
        <x:v>No</x:v>
      </x:c>
      <x:c r="K969" s="9" t="str">
        <x:v>Yes</x:v>
      </x:c>
      <x:c r="L969" s="9" t="str">
        <x:v>No</x:v>
      </x:c>
      <x:c r="M969" s="9" t="str">
        <x:v>Fantasy adventure</x:v>
      </x:c>
      <x:c r="N969" s="9" t="str">
        <x:v>Live-action</x:v>
      </x:c>
      <x:c r="O969" s="9" t="n">
        <x:v>7</x:v>
      </x:c>
      <x:c r="P969" s="9" t="str">
        <x:v>FMV adventure</x:v>
      </x:c>
      <x:c r="Q969" s="9" t="str">
        <x:v>Released</x:v>
      </x:c>
      <x:c r="R969" s="9" t="str">
        <x:v>Original production</x:v>
      </x:c>
      <x:c r="S969" s="9" t="str">
        <x:v>Macintosh</x:v>
      </x:c>
      <x:c r="T969" s="9" t="str">
        <x:v>Filmed actors against rendered sets (names verify)</x:v>
      </x:c>
      <x:c r="U969" s="9" t="n">
        <x:v>2</x:v>
      </x:c>
      <x:c r="V969" s="9" t="str">
        <x:v>Yes</x:v>
      </x:c>
      <x:c r="W969" s="9" t="str">
        <x:v>Windows 95, Pentium, 16 MB RAM, 4x CD-ROM (verify)</x:v>
      </x:c>
      <x:c r="X969" s="9" t="str">
        <x:v>Low</x:v>
      </x:c>
      <x:c r="Y969" s="9" t="str"/>
      <x:c r="Z969" s="9" t="str">
        <x:v>4–6 hr</x:v>
      </x:c>
      <x:c r="AA969" s="9" t="str">
        <x:v>Cyberdreams' last adventure after Dark Seed II: a fantasy quest told in filmed actors over rendered sets, released as the company folded.</x:v>
      </x:c>
      <x:c r="AB969" s="9" t="str">
        <x:v>None known</x:v>
      </x:c>
      <x:c r="AC969" s="9" t="str">
        <x:v>Filmed characters composited into rendered fantasy scenes (verify)</x:v>
      </x:c>
      <x:c r="AD969" s="9" t="str">
        <x:v>Moderate</x:v>
      </x:c>
      <x:c r="AE969" s="9" t="str">
        <x:v>One</x:v>
      </x:c>
      <x:c r="AF969" s="9" t="str">
        <x:v>Cyberdreams closed in 1997. MobyGames lists Windows and Macintosh versions. FMV World lists it as an FMV game; details are thin (verify).</x:v>
      </x:c>
      <x:c r="AG969" s="9" t="str">
        <x:v>Windows and Macintosh</x:v>
      </x:c>
      <x:c r="AH969" s="9" t="str">
        <x:v>No</x:v>
      </x:c>
      <x:c r="AI969" s="9" t="str">
        <x:v>Easy</x:v>
      </x:c>
      <x:c r="AJ969" s="9" t="str">
        <x:v>Original disc in DOSBox or a Windows 9x virtual machine; disc images circulate</x:v>
      </x:c>
      <x:c r="AK969" s="9" t="str">
        <x:v>Facts from memory and the MobyGames listing title; verify before recording.</x:v>
      </x:c>
      <x:c r="AL969" s="10"/>
      <x:c r="AM969" s="10"/>
      <x:c r="AN969" s="10"/>
      <x:c r="AO969" s="9"/>
      <x:c r="AP969" s="11" t="str">
        <x:f>HYPERLINK("https://www.pricecharting.com/search-products?q=Chaos%3A+A+Fantasy+Adventure+Game+pc+games&amp;type=prices","PriceCharting")</x:f>
        <x:v>PriceCharting</x:v>
      </x:c>
      <x:c r="AQ969" s="9"/>
      <x:c r="AR969" s="9"/>
      <x:c r="AS969" s="9"/>
      <x:c r="AT969" s="9"/>
      <x:c r="AU969" s="9" t="str">
        <x:v>No market</x:v>
      </x:c>
      <x:c r="AV969" s="9" t="str">
        <x:v>Not sold on Steam or GOG (checked 2026-10-25) and no PriceCharting listing.</x:v>
      </x:c>
      <x:c r="AW969" s="9"/>
      <x:c r="AX969" s="9"/>
      <x:c r="AY969" s="9"/>
      <x:c r="AZ969" s="9"/>
      <x:c r="BA969" s="11" t="str">
        <x:f>HYPERLINK("https://www.mobygames.com/game/5059/chaos-a-fantasy-adventure-game/","MobyGames")</x:f>
        <x:v>MobyGames</x:v>
      </x:c>
      <x:c r="BB969" s="9" t="str"/>
      <x:c r="BC969" s="9" t="str"/>
      <x:c r="BD969" s="9"/>
      <x:c r="BE969" s="9"/>
      <x:c r="BF969" s="11" t="str">
        <x:f>HYPERLINK("https://backloggd.com/search/games/Chaos%3A%20A%20Fantasy%20Adventure%20Game/","Backloggd")</x:f>
        <x:v>Backloggd</x:v>
      </x:c>
      <x:c r="BG969" s="9"/>
      <x:c r="BH969" s="9"/>
      <x:c r="BI969" s="12" t="str">
        <x:v>No</x:v>
      </x:c>
      <x:c r="BJ969" s="12" t="str"/>
      <x:c r="BK969" s="12" t="str">
        <x:v>No</x:v>
      </x:c>
      <x:c r="BL969" s="12" t="str"/>
      <x:c r="BM969" s="12" t="str"/>
      <x:c r="BN969" s="12" t="str"/>
      <x:c r="BO969" s="12" t="str"/>
      <x:c r="BP969" s="12" t="str"/>
      <x:c r="BQ969" s="12" t="str"/>
    </x:row>
    <x:row r="970">
      <x:c r="A970" s="9" t="str">
        <x:v>pc-289</x:v>
      </x:c>
      <x:c r="B970" s="9" t="str">
        <x:v>eraser-turnabout</x:v>
      </x:c>
      <x:c r="C970" s="9" t="str">
        <x:v>PC</x:v>
      </x:c>
      <x:c r="D970" s="9" t="str">
        <x:v>Eraser: Turnabout</x:v>
      </x:c>
      <x:c r="E970" s="9" t="str"/>
      <x:c r="F970" s="9" t="str">
        <x:v>Imagination Pilots</x:v>
      </x:c>
      <x:c r="G970" s="9" t="str">
        <x:v>Imagination Pilots; Warner Bros. Interactive (verify)</x:v>
      </x:c>
      <x:c r="H970" s="9" t="n">
        <x:v>1997</x:v>
      </x:c>
      <x:c r="I970" s="9" t="str">
        <x:v>Yes</x:v>
      </x:c>
      <x:c r="J970" s="9" t="str">
        <x:v>No</x:v>
      </x:c>
      <x:c r="K970" s="9" t="str">
        <x:v>Yes</x:v>
      </x:c>
      <x:c r="L970" s="9" t="str">
        <x:v>No</x:v>
      </x:c>
      <x:c r="M970" s="9" t="str">
        <x:v>Thriller adventure</x:v>
      </x:c>
      <x:c r="N970" s="9" t="str">
        <x:v>Live-action</x:v>
      </x:c>
      <x:c r="O970" s="9" t="n">
        <x:v>6</x:v>
      </x:c>
      <x:c r="P970" s="9" t="str">
        <x:v>FMV adventure</x:v>
      </x:c>
      <x:c r="Q970" s="9" t="str">
        <x:v>Released</x:v>
      </x:c>
      <x:c r="R970" s="9" t="str">
        <x:v>Original production</x:v>
      </x:c>
      <x:c r="S970" s="9"/>
      <x:c r="T970" s="9" t="str">
        <x:v>New actors; Arnold Schwarzenegger does not appear (verify)</x:v>
      </x:c>
      <x:c r="U970" s="9" t="n">
        <x:v>2</x:v>
      </x:c>
      <x:c r="V970" s="9" t="str">
        <x:v>Yes</x:v>
      </x:c>
      <x:c r="W970" s="9" t="str">
        <x:v>Windows 95, Pentium, 16 MB RAM, 4x CD-ROM (verify)</x:v>
      </x:c>
      <x:c r="X970" s="9" t="str">
        <x:v>Low–Med</x:v>
      </x:c>
      <x:c r="Y970" s="9" t="str">
        <x:v>Eraser film music if used</x:v>
      </x:c>
      <x:c r="Z970" s="9" t="str">
        <x:v>4–6 hr</x:v>
      </x:c>
      <x:c r="AA970" s="9" t="str">
        <x:v>A sequel to the Schwarzenegger film without Schwarzenegger: you are a new Witness Protection marshal in filmed scenes and puzzle rooms.</x:v>
      </x:c>
      <x:c r="AB970" s="9" t="str">
        <x:v>None known</x:v>
      </x:c>
      <x:c r="AC970" s="9" t="str">
        <x:v>Filmed actors in the Imagination Pilots style of Blown Away and Panic in the Park</x:v>
      </x:c>
      <x:c r="AD970" s="9" t="str">
        <x:v>Moderate</x:v>
      </x:c>
      <x:c r="AE970" s="9" t="str">
        <x:v>One</x:v>
      </x:c>
      <x:c r="AF970" s="9" t="str">
        <x:v>Imagination Pilots' third film tie-in after Blown Away (1994) and Panic in the Park (1995), both indexed. Reviews were poor (verify).</x:v>
      </x:c>
      <x:c r="AG970" s="9" t="str">
        <x:v>Windows CD-ROM</x:v>
      </x:c>
      <x:c r="AH970" s="9" t="str">
        <x:v>No</x:v>
      </x:c>
      <x:c r="AI970" s="9" t="str">
        <x:v>Easy</x:v>
      </x:c>
      <x:c r="AJ970" s="9" t="str">
        <x:v>Original disc in DOSBox or a Windows 9x virtual machine; disc images circulate</x:v>
      </x:c>
      <x:c r="AK970" s="9"/>
      <x:c r="AL970" s="10"/>
      <x:c r="AM970" s="10"/>
      <x:c r="AN970" s="10"/>
      <x:c r="AO970" s="9"/>
      <x:c r="AP970" s="11" t="str">
        <x:f>HYPERLINK("https://www.pricecharting.com/search-products?q=Eraser%3A+Turnabout+pc+games&amp;type=prices","PriceCharting")</x:f>
        <x:v>PriceCharting</x:v>
      </x:c>
      <x:c r="AQ970" s="9"/>
      <x:c r="AR970" s="9"/>
      <x:c r="AS970" s="9"/>
      <x:c r="AT970" s="9"/>
      <x:c r="AU970" s="9" t="str">
        <x:v>No market</x:v>
      </x:c>
      <x:c r="AV970" s="9" t="str">
        <x:v>Not sold on Steam or GOG (checked 2026-10-25) and no PriceCharting listing.</x:v>
      </x:c>
      <x:c r="AW970" s="9"/>
      <x:c r="AX970" s="9"/>
      <x:c r="AY970" s="9" t="str">
        <x:v>47%</x:v>
      </x:c>
      <x:c r="AZ970" s="9"/>
      <x:c r="BA970" s="11" t="str">
        <x:f>HYPERLINK("https://www.mobygames.com/game/windows/eraser-turnabout","MobyGames")</x:f>
        <x:v>MobyGames</x:v>
      </x:c>
      <x:c r="BB970" s="9" t="str">
        <x:v>42%</x:v>
      </x:c>
      <x:c r="BC970" s="9" t="str">
        <x:v>average of 4 reviews on Wikipedia (PC Action, PC Player, PCG, Power Play)</x:v>
      </x:c>
      <x:c r="BD970" s="9" t="str">
        <x:f>HYPERLINK("https://en.wikipedia.org/wiki/Eraser%3A_Turnabout","Source")</x:f>
        <x:v>Source</x:v>
      </x:c>
      <x:c r="BE970" s="9"/>
      <x:c r="BF970" s="11" t="str">
        <x:f>HYPERLINK("https://backloggd.com/search/games/Eraser%3A%20Turnabout/","Backloggd")</x:f>
        <x:v>Backloggd</x:v>
      </x:c>
      <x:c r="BG970" s="9"/>
      <x:c r="BH970" s="9"/>
      <x:c r="BI970" s="12" t="str">
        <x:v>No</x:v>
      </x:c>
      <x:c r="BJ970" s="12" t="str"/>
      <x:c r="BK970" s="12" t="str">
        <x:v>No</x:v>
      </x:c>
      <x:c r="BL970" s="12" t="str"/>
      <x:c r="BM970" s="12" t="str"/>
      <x:c r="BN970" s="12" t="str"/>
      <x:c r="BO970" s="12" t="str"/>
      <x:c r="BP970" s="12" t="str"/>
      <x:c r="BQ970" s="12" t="str"/>
    </x:row>
    <x:row r="971">
      <x:c r="A971" s="9" t="str">
        <x:v>pc-290</x:v>
      </x:c>
      <x:c r="B971" s="9" t="str">
        <x:v>soldier-boyz</x:v>
      </x:c>
      <x:c r="C971" s="9" t="str">
        <x:v>PC</x:v>
      </x:c>
      <x:c r="D971" s="9" t="str">
        <x:v>Soldier Boyz</x:v>
      </x:c>
      <x:c r="E971" s="9" t="str"/>
      <x:c r="F971" s="9" t="str">
        <x:v>Hypnotix</x:v>
      </x:c>
      <x:c r="G971" s="9" t="str">
        <x:v>DreamCatcher Interactive; MCPA Interactive</x:v>
      </x:c>
      <x:c r="H971" s="9" t="n">
        <x:v>1997</x:v>
      </x:c>
      <x:c r="I971" s="9" t="str">
        <x:v>Yes</x:v>
      </x:c>
      <x:c r="J971" s="9" t="str">
        <x:v>No</x:v>
      </x:c>
      <x:c r="K971" s="9" t="str">
        <x:v>Yes</x:v>
      </x:c>
      <x:c r="L971" s="9" t="str">
        <x:v>No</x:v>
      </x:c>
      <x:c r="M971" s="9" t="str">
        <x:v>FMV rail shooter</x:v>
      </x:c>
      <x:c r="N971" s="9" t="str">
        <x:v>Live-action</x:v>
      </x:c>
      <x:c r="O971" s="9" t="n">
        <x:v>7</x:v>
      </x:c>
      <x:c r="P971" s="9" t="str">
        <x:v>Interactive movie</x:v>
      </x:c>
      <x:c r="Q971" s="9" t="str">
        <x:v>Released</x:v>
      </x:c>
      <x:c r="R971" s="9" t="str">
        <x:v>Original production</x:v>
      </x:c>
      <x:c r="S971" s="9"/>
      <x:c r="T971" s="9" t="str">
        <x:v>Cast of the 1995 film Soldier Boyz in new and reused footage (names verify)</x:v>
      </x:c>
      <x:c r="U971" s="9" t="n">
        <x:v>1</x:v>
      </x:c>
      <x:c r="V971" s="9" t="str">
        <x:v>Yes</x:v>
      </x:c>
      <x:c r="W971" s="9" t="str">
        <x:v>Windows 95, Pentium, 16 MB RAM, 4x CD-ROM (verify)</x:v>
      </x:c>
      <x:c r="X971" s="9" t="str">
        <x:v>Med</x:v>
      </x:c>
      <x:c r="Y971" s="9" t="str">
        <x:v>Film footage</x:v>
      </x:c>
      <x:c r="Z971" s="9" t="str">
        <x:v>1–2 hr</x:v>
      </x:c>
      <x:c r="AA971" s="9" t="str">
        <x:v>A rail shooter retelling the Michael Dudikoff film, with cutscenes directed by Darren Aronofsky; Computer Games Strategy Plus gave it 0 out of 5.</x:v>
      </x:c>
      <x:c r="AB971" s="9" t="str">
        <x:v>None known</x:v>
      </x:c>
      <x:c r="AC971" s="9" t="str">
        <x:v>Shoot over filmed footage; filmed cutscenes between stages</x:v>
      </x:c>
      <x:c r="AD971" s="9" t="str">
        <x:v>Three settings: Chump, Punk, Bad Ass</x:v>
      </x:c>
      <x:c r="AE971" s="9" t="str">
        <x:v>One</x:v>
      </x:c>
      <x:c r="AF971" s="9" t="str">
        <x:v>Darren Aronofsky, a year before Pi, directed the cutscenes and is credited as a designer. GameSpot 3.8/10 ('It doesn't look good; it doesn't play good'); CGW said it 'just might be the game that drives a stake into the heart of' FMV.</x:v>
      </x:c>
      <x:c r="AG971" s="9" t="str">
        <x:v>DOS/Windows 95 CD-ROM</x:v>
      </x:c>
      <x:c r="AH971" s="9" t="str">
        <x:v>No</x:v>
      </x:c>
      <x:c r="AI971" s="9" t="str">
        <x:v>Easy</x:v>
      </x:c>
      <x:c r="AJ971" s="9" t="str">
        <x:v>Original disc in DOSBox or a Windows 9x virtual machine; disc images circulate</x:v>
      </x:c>
      <x:c r="AK971" s="9"/>
      <x:c r="AL971" s="10"/>
      <x:c r="AM971" s="10"/>
      <x:c r="AN971" s="10"/>
      <x:c r="AO971" s="9"/>
      <x:c r="AP971" s="11" t="str">
        <x:f>HYPERLINK("https://www.pricecharting.com/search-products?q=Soldier+Boyz+pc+games&amp;type=prices","PriceCharting")</x:f>
        <x:v>PriceCharting</x:v>
      </x:c>
      <x:c r="AQ971" s="9"/>
      <x:c r="AR971" s="9"/>
      <x:c r="AS971" s="9"/>
      <x:c r="AT971" s="9"/>
      <x:c r="AU971" s="9" t="str">
        <x:v>No market</x:v>
      </x:c>
      <x:c r="AV971" s="9" t="str">
        <x:v>Not sold on Steam or GOG (checked 2026-10-25) and no PriceCharting listing.</x:v>
      </x:c>
      <x:c r="AW971" s="9"/>
      <x:c r="AX971" s="9"/>
      <x:c r="AY971" s="9"/>
      <x:c r="AZ971" s="9"/>
      <x:c r="BA971" s="11" t="str">
        <x:f>HYPERLINK("https://www.mobygames.com/search/?q=Soldier+Boyz","MobyGames")</x:f>
        <x:v>MobyGames</x:v>
      </x:c>
      <x:c r="BB971" s="9" t="str">
        <x:v>38%</x:v>
      </x:c>
      <x:c r="BC971" s="9" t="str">
        <x:v>GameSpot, 1 review</x:v>
      </x:c>
      <x:c r="BD971" s="9" t="str">
        <x:f>HYPERLINK("https://en.wikipedia.org/wiki/Soldier_Boyz_(video_game)","Source")</x:f>
        <x:v>Source</x:v>
      </x:c>
      <x:c r="BE971" s="11" t="str">
        <x:f>HYPERLINK("https://en.wikipedia.org/wiki/Soldier_Boyz_(video_game)","Wikipedia")</x:f>
        <x:v>Wikipedia</x:v>
      </x:c>
      <x:c r="BF971" s="11" t="str">
        <x:f>HYPERLINK("https://backloggd.com/search/games/Soldier%20Boyz/","Backloggd")</x:f>
        <x:v>Backloggd</x:v>
      </x:c>
      <x:c r="BG971" s="9"/>
      <x:c r="BH971" s="9"/>
      <x:c r="BI971" s="12" t="str">
        <x:v>No</x:v>
      </x:c>
      <x:c r="BJ971" s="12" t="str"/>
      <x:c r="BK971" s="12" t="str">
        <x:v>No</x:v>
      </x:c>
      <x:c r="BL971" s="12" t="str"/>
      <x:c r="BM971" s="12" t="str"/>
      <x:c r="BN971" s="12" t="str"/>
      <x:c r="BO971" s="12" t="str"/>
      <x:c r="BP971" s="12" t="str"/>
      <x:c r="BQ971" s="12" t="str"/>
    </x:row>
    <x:row r="972">
      <x:c r="A972" s="9" t="str">
        <x:v>pc-291</x:v>
      </x:c>
      <x:c r="B972" s="9" t="str">
        <x:v>wing-nuts-battle-in-the-sky</x:v>
      </x:c>
      <x:c r="C972" s="9" t="str">
        <x:v>PC</x:v>
      </x:c>
      <x:c r="D972" s="9" t="str">
        <x:v>Wing Nuts: Battle in the Sky</x:v>
      </x:c>
      <x:c r="E972" s="9" t="str"/>
      <x:c r="F972" s="9" t="str">
        <x:v>Rocket Science Games</x:v>
      </x:c>
      <x:c r="G972" s="9" t="str">
        <x:v>BMG Interactive</x:v>
      </x:c>
      <x:c r="H972" s="9" t="n">
        <x:v>1995</x:v>
      </x:c>
      <x:c r="I972" s="9" t="str">
        <x:v>Yes</x:v>
      </x:c>
      <x:c r="J972" s="9" t="str">
        <x:v>No</x:v>
      </x:c>
      <x:c r="K972" s="9" t="str">
        <x:v>Yes</x:v>
      </x:c>
      <x:c r="L972" s="9" t="str">
        <x:v>No</x:v>
      </x:c>
      <x:c r="M972" s="9" t="str">
        <x:v>FMV rail shooter</x:v>
      </x:c>
      <x:c r="N972" s="9" t="str">
        <x:v>Live-action and CG</x:v>
      </x:c>
      <x:c r="O972" s="9" t="n">
        <x:v>8</x:v>
      </x:c>
      <x:c r="P972" s="9" t="str">
        <x:v>Interactive movie</x:v>
      </x:c>
      <x:c r="Q972" s="9" t="str">
        <x:v>Released</x:v>
      </x:c>
      <x:c r="R972" s="9" t="str">
        <x:v>Original production</x:v>
      </x:c>
      <x:c r="S972" s="9"/>
      <x:c r="T972" s="9" t="str">
        <x:v>Comic live-action cutscenes (names verify)</x:v>
      </x:c>
      <x:c r="U972" s="9" t="n">
        <x:v>1</x:v>
      </x:c>
      <x:c r="V972" s="9" t="str">
        <x:v>Yes</x:v>
      </x:c>
      <x:c r="W972" s="9" t="str">
        <x:v>MS-DOS, 486, 8 MB RAM, 2x CD-ROM (verify)</x:v>
      </x:c>
      <x:c r="X972" s="9" t="str">
        <x:v>Low</x:v>
      </x:c>
      <x:c r="Y972" s="9" t="str"/>
      <x:c r="Z972" s="9" t="str">
        <x:v>2–3 hr</x:v>
      </x:c>
      <x:c r="AA972" s="9" t="str">
        <x:v>Rocket Science's World War I rail shooter, Loadstar with biplanes: humour makes up for the lack of gameplay, said Next Generation.</x:v>
      </x:c>
      <x:c r="AB972" s="9" t="str">
        <x:v>None known</x:v>
      </x:c>
      <x:c r="AC972" s="9" t="str">
        <x:v>Streamed flight footage you shoot over, filmed cutscenes between missions; two missions bomb a bridge from a balloon</x:v>
      </x:c>
      <x:c r="AD972" s="9" t="str">
        <x:v>Moderate</x:v>
      </x:c>
      <x:c r="AE972" s="9" t="str">
        <x:v>One</x:v>
      </x:c>
      <x:c r="AF972" s="9" t="str">
        <x:v>A 3DO version shown at E3 1995 was never released. PC Gamer 71%, Computer Game Review 80/80/80, Next Generation 3/5; sold under 20,000 copies ('bombed miserably').</x:v>
      </x:c>
      <x:c r="AG972" s="9" t="str">
        <x:v>DOS CD-ROM</x:v>
      </x:c>
      <x:c r="AH972" s="9" t="str">
        <x:v>No</x:v>
      </x:c>
      <x:c r="AI972" s="9" t="str">
        <x:v>Easy</x:v>
      </x:c>
      <x:c r="AJ972" s="9" t="str">
        <x:v>Original disc in DOSBox or a Windows 9x virtual machine; disc images circulate</x:v>
      </x:c>
      <x:c r="AK972" s="9"/>
      <x:c r="AL972" s="10"/>
      <x:c r="AM972" s="10"/>
      <x:c r="AN972" s="10"/>
      <x:c r="AO972" s="9"/>
      <x:c r="AP972" s="11" t="str">
        <x:f>HYPERLINK("https://www.pricecharting.com/search-products?q=Wing+Nuts%3A+Battle+in+the+Sky+pc+games&amp;type=prices","PriceCharting")</x:f>
        <x:v>PriceCharting</x:v>
      </x:c>
      <x:c r="AQ972" s="9"/>
      <x:c r="AR972" s="9"/>
      <x:c r="AS972" s="9"/>
      <x:c r="AT972" s="9"/>
      <x:c r="AU972" s="9" t="str">
        <x:v>No market</x:v>
      </x:c>
      <x:c r="AV972" s="9" t="str">
        <x:v>Not sold on Steam or GOG (checked 2026-10-25) and no PriceCharting listing.</x:v>
      </x:c>
      <x:c r="AW972" s="9"/>
      <x:c r="AX972" s="9"/>
      <x:c r="AY972" s="9"/>
      <x:c r="AZ972" s="9"/>
      <x:c r="BA972" s="11" t="str">
        <x:f>HYPERLINK("https://www.mobygames.com/search/?q=Wing+Nuts%3A+Battle+in+the+Sky","MobyGames")</x:f>
        <x:v>MobyGames</x:v>
      </x:c>
      <x:c r="BB972" s="9" t="str">
        <x:v>71%</x:v>
      </x:c>
      <x:c r="BC972" s="9" t="str">
        <x:v>PC Gamer (US), 1 review</x:v>
      </x:c>
      <x:c r="BD972" s="9" t="str">
        <x:f>HYPERLINK("https://en.wikipedia.org/wiki/Wing_Nuts:_Battle_in_the_Sky","Source")</x:f>
        <x:v>Source</x:v>
      </x:c>
      <x:c r="BE972" s="11" t="str">
        <x:f>HYPERLINK("https://en.wikipedia.org/wiki/Wing_Nuts:_Battle_in_the_Sky","Wikipedia")</x:f>
        <x:v>Wikipedia</x:v>
      </x:c>
      <x:c r="BF972" s="11" t="str">
        <x:f>HYPERLINK("https://backloggd.com/search/games/Wing%20Nuts%3A%20Battle%20in%20the%20Sky/","Backloggd")</x:f>
        <x:v>Backloggd</x:v>
      </x:c>
      <x:c r="BG972" s="9"/>
      <x:c r="BH972" s="9"/>
      <x:c r="BI972" s="12" t="str">
        <x:v>No</x:v>
      </x:c>
      <x:c r="BJ972" s="12" t="str"/>
      <x:c r="BK972" s="12" t="str">
        <x:v>No</x:v>
      </x:c>
      <x:c r="BL972" s="12" t="str"/>
      <x:c r="BM972" s="12" t="str"/>
      <x:c r="BN972" s="12" t="str"/>
      <x:c r="BO972" s="12" t="str"/>
      <x:c r="BP972" s="12" t="str"/>
      <x:c r="BQ972" s="12" t="str"/>
    </x:row>
    <x:row r="973">
      <x:c r="A973" s="9" t="str">
        <x:v>pc-292</x:v>
      </x:c>
      <x:c r="B973" s="9" t="str">
        <x:v>santa-fe-mysteries-sacred-ground</x:v>
      </x:c>
      <x:c r="C973" s="9" t="str">
        <x:v>PC</x:v>
      </x:c>
      <x:c r="D973" s="9" t="str">
        <x:v>Santa Fe Mysteries: Sacred Ground</x:v>
      </x:c>
      <x:c r="E973" s="9" t="str"/>
      <x:c r="F973" s="9" t="str">
        <x:v>Activision</x:v>
      </x:c>
      <x:c r="G973" s="9" t="str">
        <x:v>Activision</x:v>
      </x:c>
      <x:c r="H973" s="9" t="n">
        <x:v>1997</x:v>
      </x:c>
      <x:c r="I973" s="9" t="str">
        <x:v>Yes</x:v>
      </x:c>
      <x:c r="J973" s="9" t="str">
        <x:v>No</x:v>
      </x:c>
      <x:c r="K973" s="9" t="str">
        <x:v>Yes</x:v>
      </x:c>
      <x:c r="L973" s="9" t="str">
        <x:v>No</x:v>
      </x:c>
      <x:c r="M973" s="9" t="str">
        <x:v>Interactive movie</x:v>
      </x:c>
      <x:c r="N973" s="9" t="str">
        <x:v>Live-action</x:v>
      </x:c>
      <x:c r="O973" s="9" t="n">
        <x:v>8</x:v>
      </x:c>
      <x:c r="P973" s="9" t="str">
        <x:v>Interactive movie</x:v>
      </x:c>
      <x:c r="Q973" s="9" t="str">
        <x:v>Released</x:v>
      </x:c>
      <x:c r="R973" s="9" t="str">
        <x:v>Original production</x:v>
      </x:c>
      <x:c r="S973" s="9" t="str">
        <x:v>Macintosh</x:v>
      </x:c>
      <x:c r="T973" s="9" t="str">
        <x:v>Filmed cast in Santa Fe (names verify)</x:v>
      </x:c>
      <x:c r="U973" s="9" t="n">
        <x:v>2</x:v>
      </x:c>
      <x:c r="V973" s="9" t="str">
        <x:v>Yes</x:v>
      </x:c>
      <x:c r="W973" s="9" t="str">
        <x:v>Windows 95, Pentium, 16 MB RAM, 4x CD-ROM (verify)</x:v>
      </x:c>
      <x:c r="X973" s="9" t="str">
        <x:v>Low</x:v>
      </x:c>
      <x:c r="Y973" s="9" t="str"/>
      <x:c r="Z973" s="9" t="str">
        <x:v>4–6 hr</x:v>
      </x:c>
      <x:c r="AA973" s="9" t="str">
        <x:v>The second Santa Fe Mystery after The Elk Moon Murder: a kidnapped wife, Pueblo land politics and a $1 million budget spent on filmed interviews.</x:v>
      </x:c>
      <x:c r="AB973" s="9" t="str">
        <x:v>None known</x:v>
      </x:c>
      <x:c r="AC973" s="9" t="str">
        <x:v>Live-action streamed video; resolution and frame rate Unknown — verify</x:v>
      </x:c>
      <x:c r="AD973" s="9" t="str">
        <x:v>Moderate</x:v>
      </x:c>
      <x:c r="AE973" s="9" t="str">
        <x:v>One</x:v>
      </x:c>
      <x:c r="AF973" s="9" t="str">
        <x:v>CNET Gamecenter 4/5, AllGame 2.5/5, Computer Games Strategy Plus 0.5/5, PC Games C. Switching the two CDs between locations annoyed Tekno.</x:v>
      </x:c>
      <x:c r="AG973" s="9" t="str">
        <x:v>2-CD Windows/Macintosh</x:v>
      </x:c>
      <x:c r="AH973" s="9" t="str">
        <x:v>No verified current official digital re-release; original discs secondhand</x:v>
      </x:c>
      <x:c r="AI973" s="9" t="str">
        <x:v>Easy</x:v>
      </x:c>
      <x:c r="AJ973" s="9" t="str">
        <x:v>Buy original DOS/Windows/Macintosh CDs secondhand and use suitable period hardware. Modern emulator support Unknown — verify; no verified current official digital re-release.</x:v>
      </x:c>
      <x:c r="AK973" s="9" t="str">
        <x:v>Sibling of pc-137 (The Elk Moon Murder). Audit: ESRB confirms Activision and Windows/Macintosh release; original publisher manual confirms DOS. Disc count, cast, EU/JP distribution and technical details Unknown — verify.</x:v>
      </x:c>
      <x:c r="AL973" s="10"/>
      <x:c r="AM973" s="10"/>
      <x:c r="AN973" s="10"/>
      <x:c r="AO973" s="9"/>
      <x:c r="AP973" s="11" t="str">
        <x:f>HYPERLINK("https://www.pricecharting.com/search-products?q=Santa+Fe+Mysteries%3A+Sacred+Ground+pc+games&amp;type=prices","PriceCharting")</x:f>
        <x:v>PriceCharting</x:v>
      </x:c>
      <x:c r="AQ973" s="9"/>
      <x:c r="AR973" s="9"/>
      <x:c r="AS973" s="9"/>
      <x:c r="AT973" s="9"/>
      <x:c r="AU973" s="9" t="str">
        <x:v>No market</x:v>
      </x:c>
      <x:c r="AV973" s="9" t="str">
        <x:v>Not sold on Steam or GOG (checked 2026-10-25) and no PriceCharting listing.</x:v>
      </x:c>
      <x:c r="AW973" s="9"/>
      <x:c r="AX973" s="9"/>
      <x:c r="AY973" s="9"/>
      <x:c r="AZ973" s="9"/>
      <x:c r="BA973" s="11" t="str">
        <x:f>HYPERLINK("https://www.mobygames.com/search/?q=Santa+Fe+Mysteries%3A+Sacred+Ground","MobyGames")</x:f>
        <x:v>MobyGames</x:v>
      </x:c>
      <x:c r="BB973" s="9" t="str">
        <x:v>40%</x:v>
      </x:c>
      <x:c r="BC973" s="9" t="str">
        <x:v>GameRankings, 1 review</x:v>
      </x:c>
      <x:c r="BD973" s="9" t="str">
        <x:f>HYPERLINK("https://web.archive.org/web/20191209011213id_/https://www.gamerankings.com/pc/567054-santa-fe-mysteries-sacred-ground/","Source")</x:f>
        <x:v>Source</x:v>
      </x:c>
      <x:c r="BE973" s="11" t="str">
        <x:f>HYPERLINK("https://en.wikipedia.org/wiki/Santa_Fe_Mysteries:_Sacred_Ground","Wikipedia")</x:f>
        <x:v>Wikipedia</x:v>
      </x:c>
      <x:c r="BF973" s="11" t="str">
        <x:f>HYPERLINK("https://backloggd.com/search/games/Santa%20Fe%20Mysteries%3A%20Sacred%20Ground/","Backloggd")</x:f>
        <x:v>Backloggd</x:v>
      </x:c>
      <x:c r="BG973" s="9"/>
      <x:c r="BH973" s="9"/>
      <x:c r="BI973" s="12" t="str">
        <x:v>No</x:v>
      </x:c>
      <x:c r="BJ973" s="12" t="str"/>
      <x:c r="BK973" s="12" t="str">
        <x:v>No</x:v>
      </x:c>
      <x:c r="BL973" s="12" t="str"/>
      <x:c r="BM973" s="12" t="str"/>
      <x:c r="BN973" s="12" t="str"/>
      <x:c r="BO973" s="12" t="str"/>
      <x:c r="BP973" s="12" t="str"/>
      <x:c r="BQ973" s="12" t="str"/>
    </x:row>
    <x:row r="974">
      <x:c r="A974" s="9" t="str">
        <x:v>pc-293</x:v>
      </x:c>
      <x:c r="B974" s="9" t="str">
        <x:v>the-vampire-diaries-1996</x:v>
      </x:c>
      <x:c r="C974" s="9" t="str">
        <x:v>PC</x:v>
      </x:c>
      <x:c r="D974" s="9" t="str">
        <x:v>The Vampire Diaries</x:v>
      </x:c>
      <x:c r="E974" s="9" t="str"/>
      <x:c r="F974" s="9" t="str">
        <x:v>Her Interactive</x:v>
      </x:c>
      <x:c r="G974" s="9" t="str">
        <x:v>Her Interactive</x:v>
      </x:c>
      <x:c r="H974" s="9" t="n">
        <x:v>1996</x:v>
      </x:c>
      <x:c r="I974" s="9" t="str">
        <x:v>Yes</x:v>
      </x:c>
      <x:c r="J974" s="9" t="str">
        <x:v>No</x:v>
      </x:c>
      <x:c r="K974" s="9" t="str">
        <x:v>Yes</x:v>
      </x:c>
      <x:c r="L974" s="9" t="str">
        <x:v>No</x:v>
      </x:c>
      <x:c r="M974" s="9" t="str">
        <x:v>Horror adventure</x:v>
      </x:c>
      <x:c r="N974" s="9" t="str">
        <x:v>Live-action</x:v>
      </x:c>
      <x:c r="O974" s="9" t="n">
        <x:v>8</x:v>
      </x:c>
      <x:c r="P974" s="9" t="str">
        <x:v>FMV adventure</x:v>
      </x:c>
      <x:c r="Q974" s="9" t="str">
        <x:v>Released</x:v>
      </x:c>
      <x:c r="R974" s="9" t="str">
        <x:v>Original production</x:v>
      </x:c>
      <x:c r="S974" s="9"/>
      <x:c r="T974" s="9" t="str">
        <x:v>Filmed cast (names verify)</x:v>
      </x:c>
      <x:c r="U974" s="9" t="n">
        <x:v>2</x:v>
      </x:c>
      <x:c r="V974" s="9" t="str">
        <x:v>Yes</x:v>
      </x:c>
      <x:c r="W974" s="9" t="str">
        <x:v>Windows 95, Pentium, 16 MB RAM, 4x CD-ROM (verify)</x:v>
      </x:c>
      <x:c r="X974" s="9" t="str">
        <x:v>Low</x:v>
      </x:c>
      <x:c r="Y974" s="9" t="str"/>
      <x:c r="Z974" s="9" t="str">
        <x:v>4–6 hr</x:v>
      </x:c>
      <x:c r="AA974" s="9" t="str">
        <x:v>Her Interactive's follow-up to McKenzie &amp; Co. adapts L.J. Smith's novels years before the TV show, as a filmed first-person mystery in Fell's Church.</x:v>
      </x:c>
      <x:c r="AB974" s="9" t="str">
        <x:v>None known</x:v>
      </x:c>
      <x:c r="AC974" s="9" t="str">
        <x:v>Filmed characters and locations with point-and-click investigation (verify)</x:v>
      </x:c>
      <x:c r="AD974" s="9" t="str">
        <x:v>Moderate</x:v>
      </x:c>
      <x:c r="AE974" s="9" t="str">
        <x:v>One</x:v>
      </x:c>
      <x:c r="AF974" s="9" t="str">
        <x:v>Based on the first Vampire Diaries novels (1991), long before the CW series. Her Interactive's last game before Nancy Drew (verify).</x:v>
      </x:c>
      <x:c r="AG974" s="9" t="str">
        <x:v>Windows CD-ROM</x:v>
      </x:c>
      <x:c r="AH974" s="9" t="str">
        <x:v>No</x:v>
      </x:c>
      <x:c r="AI974" s="9" t="str">
        <x:v>Easy</x:v>
      </x:c>
      <x:c r="AJ974" s="9" t="str">
        <x:v>Original disc in DOSBox or a Windows 9x virtual machine; disc images circulate</x:v>
      </x:c>
      <x:c r="AK974" s="9" t="str">
        <x:v>FMV World and TV Tropes list it as an FMV game; MobyGames could not be read from the cloud (verify details).</x:v>
      </x:c>
      <x:c r="AL974" s="10" t="n">
        <x:v>5</x:v>
      </x:c>
      <x:c r="AM974" s="10" t="n">
        <x:v>155.5</x:v>
      </x:c>
      <x:c r="AN974" s="10" t="n">
        <x:v>600</x:v>
      </x:c>
      <x:c r="AO974" s="9" t="str">
        <x:v>2026-10-25</x:v>
      </x:c>
      <x:c r="AP974" s="11" t="str">
        <x:f>HYPERLINK("https://www.pricecharting.com/game/pc-games/the-vampire-diaries","PriceCharting")</x:f>
        <x:v>PriceCharting</x:v>
      </x:c>
      <x:c r="AQ974" s="9"/>
      <x:c r="AR974" s="9"/>
      <x:c r="AS974" s="9"/>
      <x:c r="AT974" s="9"/>
      <x:c r="AU974" s="9"/>
      <x:c r="AV974" s="9"/>
      <x:c r="AW974" s="9"/>
      <x:c r="AX974" s="9"/>
      <x:c r="AY974" s="9"/>
      <x:c r="AZ974" s="9"/>
      <x:c r="BA974" s="11" t="str">
        <x:f>HYPERLINK("https://www.mobygames.com/game/24234/the-vampire-diaries/","MobyGames")</x:f>
        <x:v>MobyGames</x:v>
      </x:c>
      <x:c r="BB974" s="9" t="str"/>
      <x:c r="BC974" s="9" t="str"/>
      <x:c r="BD974" s="9"/>
      <x:c r="BE974" s="9"/>
      <x:c r="BF974" s="11" t="str">
        <x:f>HYPERLINK("https://backloggd.com/search/games/The%20Vampire%20Diaries/","Backloggd")</x:f>
        <x:v>Backloggd</x:v>
      </x:c>
      <x:c r="BG974" s="9"/>
      <x:c r="BH974" s="9"/>
      <x:c r="BI974" s="12" t="str">
        <x:v>No</x:v>
      </x:c>
      <x:c r="BJ974" s="12" t="str"/>
      <x:c r="BK974" s="12" t="str">
        <x:v>No</x:v>
      </x:c>
      <x:c r="BL974" s="12" t="str"/>
      <x:c r="BM974" s="12" t="str"/>
      <x:c r="BN974" s="12" t="str"/>
      <x:c r="BO974" s="12" t="str"/>
      <x:c r="BP974" s="12" t="str"/>
      <x:c r="BQ974" s="12" t="str"/>
    </x:row>
    <x:row r="975">
      <x:c r="A975" s="9" t="str">
        <x:v>pc-294</x:v>
      </x:c>
      <x:c r="B975" s="9" t="str">
        <x:v>who-is-oscar-lake</x:v>
      </x:c>
      <x:c r="C975" s="9" t="str">
        <x:v>PC</x:v>
      </x:c>
      <x:c r="D975" s="9" t="str">
        <x:v>Who Is Oscar Lake?</x:v>
      </x:c>
      <x:c r="E975" s="9" t="str"/>
      <x:c r="F975" s="9" t="str">
        <x:v>Language Publications Interactive</x:v>
      </x:c>
      <x:c r="G975" s="9" t="str">
        <x:v>Language Publications Interactive</x:v>
      </x:c>
      <x:c r="H975" s="9" t="n">
        <x:v>1996</x:v>
      </x:c>
      <x:c r="I975" s="9" t="str">
        <x:v>Yes</x:v>
      </x:c>
      <x:c r="J975" s="9" t="str">
        <x:v>No</x:v>
      </x:c>
      <x:c r="K975" s="9" t="str">
        <x:v>Yes</x:v>
      </x:c>
      <x:c r="L975" s="9" t="str">
        <x:v>No</x:v>
      </x:c>
      <x:c r="M975" s="9" t="str">
        <x:v>Language-learning mystery adventure</x:v>
      </x:c>
      <x:c r="N975" s="9" t="str">
        <x:v>Live-action</x:v>
      </x:c>
      <x:c r="O975" s="9" t="n">
        <x:v>6</x:v>
      </x:c>
      <x:c r="P975" s="9" t="str">
        <x:v>FMV adventure</x:v>
      </x:c>
      <x:c r="Q975" s="9" t="str">
        <x:v>Released</x:v>
      </x:c>
      <x:c r="R975" s="9" t="str">
        <x:v>Original production</x:v>
      </x:c>
      <x:c r="S975" s="9" t="str">
        <x:v>Macintosh</x:v>
      </x:c>
      <x:c r="T975" s="9" t="str">
        <x:v>Filmed cast speaking the chosen language (names verify)</x:v>
      </x:c>
      <x:c r="U975" s="9" t="n">
        <x:v>1</x:v>
      </x:c>
      <x:c r="V975" s="9" t="str">
        <x:v>Yes</x:v>
      </x:c>
      <x:c r="W975" s="9" t="str">
        <x:v>Windows 3.1, 486, 8 MB RAM, 2x CD-ROM (verify)</x:v>
      </x:c>
      <x:c r="X975" s="9" t="str">
        <x:v>Low</x:v>
      </x:c>
      <x:c r="Y975" s="9" t="str"/>
      <x:c r="Z975" s="9" t="str">
        <x:v>3–5 hr</x:v>
      </x:c>
      <x:c r="AA975" s="9" t="str">
        <x:v>A filmed whodunit you can play in five languages, built to teach them; one of the few language courses that is a real FMV adventure.</x:v>
      </x:c>
      <x:c r="AB975" s="9" t="str">
        <x:v>None known</x:v>
      </x:c>
      <x:c r="AC975" s="9" t="str">
        <x:v>Filmed scenes and interviews in English, Spanish, French, German or Italian (verify)</x:v>
      </x:c>
      <x:c r="AD975" s="9" t="str">
        <x:v>Easy</x:v>
      </x:c>
      <x:c r="AE975" s="9" t="str">
        <x:v>One</x:v>
      </x:c>
      <x:c r="AF975" s="9" t="str">
        <x:v>Sold in editions per language; a sequel, Oscar Lake II (verify), followed.</x:v>
      </x:c>
      <x:c r="AG975" s="9" t="str">
        <x:v>Editions per language</x:v>
      </x:c>
      <x:c r="AH975" s="9" t="str">
        <x:v>No</x:v>
      </x:c>
      <x:c r="AI975" s="9" t="str">
        <x:v>Easy</x:v>
      </x:c>
      <x:c r="AJ975" s="9" t="str">
        <x:v>Original disc in DOSBox or a Windows 9x virtual machine; disc images circulate</x:v>
      </x:c>
      <x:c r="AK975" s="9" t="str">
        <x:v>Edutainment kept because the game is a filmed mystery; MobyGames could not be read from the cloud (verify).</x:v>
      </x:c>
      <x:c r="AL975" s="10"/>
      <x:c r="AM975" s="10"/>
      <x:c r="AN975" s="10"/>
      <x:c r="AO975" s="9"/>
      <x:c r="AP975" s="11" t="str">
        <x:f>HYPERLINK("https://www.pricecharting.com/search-products?q=Who+Is+Oscar+Lake%3F+pc+games&amp;type=prices","PriceCharting")</x:f>
        <x:v>PriceCharting</x:v>
      </x:c>
      <x:c r="AQ975" s="9"/>
      <x:c r="AR975" s="9"/>
      <x:c r="AS975" s="9"/>
      <x:c r="AT975" s="9"/>
      <x:c r="AU975" s="9" t="str">
        <x:v>No market</x:v>
      </x:c>
      <x:c r="AV975" s="9" t="str">
        <x:v>Not sold on Steam or GOG (checked 2026-10-25) and no PriceCharting listing.</x:v>
      </x:c>
      <x:c r="AW975" s="9"/>
      <x:c r="AX975" s="9"/>
      <x:c r="AY975" s="9"/>
      <x:c r="AZ975" s="9"/>
      <x:c r="BA975" s="11" t="str">
        <x:f>HYPERLINK("https://www.mobygames.com/game/52150/who-is-oscar-lake/","MobyGames")</x:f>
        <x:v>MobyGames</x:v>
      </x:c>
      <x:c r="BB975" s="9" t="str"/>
      <x:c r="BC975" s="9" t="str"/>
      <x:c r="BD975" s="9"/>
      <x:c r="BE975" s="9"/>
      <x:c r="BF975" s="11" t="str">
        <x:f>HYPERLINK("https://backloggd.com/search/games/Who%20Is%20Oscar%20Lake%3F/","Backloggd")</x:f>
        <x:v>Backloggd</x:v>
      </x:c>
      <x:c r="BG975" s="9"/>
      <x:c r="BH975" s="9"/>
      <x:c r="BI975" s="12" t="str">
        <x:v>No</x:v>
      </x:c>
      <x:c r="BJ975" s="12" t="str"/>
      <x:c r="BK975" s="12" t="str">
        <x:v>No</x:v>
      </x:c>
      <x:c r="BL975" s="12" t="str"/>
      <x:c r="BM975" s="12" t="str"/>
      <x:c r="BN975" s="12" t="str"/>
      <x:c r="BO975" s="12" t="str"/>
      <x:c r="BP975" s="12" t="str"/>
      <x:c r="BQ975" s="12" t="str"/>
    </x:row>
    <x:row r="976">
      <x:c r="A976" s="9" t="str">
        <x:v>pc-295</x:v>
      </x:c>
      <x:c r="B976" s="9" t="str">
        <x:v>treasure-quest-1996</x:v>
      </x:c>
      <x:c r="C976" s="9" t="str">
        <x:v>PC</x:v>
      </x:c>
      <x:c r="D976" s="9" t="str">
        <x:v>Treasure Quest</x:v>
      </x:c>
      <x:c r="E976" s="9" t="str"/>
      <x:c r="F976" s="9" t="str">
        <x:v>Soggy in Seattle Productions; Sirius Entertainment</x:v>
      </x:c>
      <x:c r="G976" s="9" t="str">
        <x:v>Sirius Publishing</x:v>
      </x:c>
      <x:c r="H976" s="9" t="n">
        <x:v>1996</x:v>
      </x:c>
      <x:c r="I976" s="9" t="str">
        <x:v>Yes</x:v>
      </x:c>
      <x:c r="J976" s="9" t="str">
        <x:v>No</x:v>
      </x:c>
      <x:c r="K976" s="9" t="str">
        <x:v>Yes</x:v>
      </x:c>
      <x:c r="L976" s="9" t="str">
        <x:v>No</x:v>
      </x:c>
      <x:c r="M976" s="9" t="str">
        <x:v>Puzzle scavenger hunt</x:v>
      </x:c>
      <x:c r="N976" s="9" t="str">
        <x:v>Live-action</x:v>
      </x:c>
      <x:c r="O976" s="9" t="n">
        <x:v>6</x:v>
      </x:c>
      <x:c r="P976" s="9" t="str">
        <x:v>FMV adventure</x:v>
      </x:c>
      <x:c r="Q976" s="9" t="str">
        <x:v>Released</x:v>
      </x:c>
      <x:c r="R976" s="9" t="str">
        <x:v>Original production</x:v>
      </x:c>
      <x:c r="S976" s="9" t="str">
        <x:v>Macintosh</x:v>
      </x:c>
      <x:c r="T976" s="9" t="str">
        <x:v>Terry Farrell (Star Trek: Deep Space Nine) as the professor's long-dead love</x:v>
      </x:c>
      <x:c r="U976" s="9" t="n">
        <x:v>1</x:v>
      </x:c>
      <x:c r="V976" s="9" t="str">
        <x:v>Yes</x:v>
      </x:c>
      <x:c r="W976" s="9" t="str">
        <x:v>Windows 3.1, 486, 8 MB RAM, 2x CD-ROM (verify)</x:v>
      </x:c>
      <x:c r="X976" s="9" t="str">
        <x:v>Low</x:v>
      </x:c>
      <x:c r="Y976" s="9" t="str"/>
      <x:c r="Z976" s="9" t="str">
        <x:v>Open-ended</x:v>
      </x:c>
      <x:c r="AA976" s="9" t="str">
        <x:v>Terry Farrell guides you through a puzzle hunt with a $1,000,000 prize; Computer Gaming World named it the 25th-worst game of all time.</x:v>
      </x:c>
      <x:c r="AB976" s="9" t="str">
        <x:v>None known</x:v>
      </x:c>
      <x:c r="AC976" s="9" t="str">
        <x:v>Filmed Terry Farrell segments over rendered rooms (verify)</x:v>
      </x:c>
      <x:c r="AD976" s="9" t="str">
        <x:v>Hard; the contest ran two years</x:v>
      </x:c>
      <x:c r="AE976" s="9" t="str">
        <x:v>One</x:v>
      </x:c>
      <x:c r="AF976" s="9" t="str">
        <x:v>Released 10 April 1996 at 10:07 p.m. EST. Paul Wigowsky's 'Tree of Life' solution was disqualified on a technicality; the prize went to 'P. Dreizen' in 1998, which some read as an anagram of 'End Prize'. Won New Media's 1996 Invision Gold for Best Strategy/Puzzle.</x:v>
      </x:c>
      <x:c r="AG976" s="9" t="str">
        <x:v>Windows 3.1/95 and Mac OS</x:v>
      </x:c>
      <x:c r="AH976" s="9" t="str">
        <x:v>No</x:v>
      </x:c>
      <x:c r="AI976" s="9" t="str">
        <x:v>Easy</x:v>
      </x:c>
      <x:c r="AJ976" s="9" t="str">
        <x:v>Original disc in DOSBox or a Windows 9x virtual machine; disc images circulate</x:v>
      </x:c>
      <x:c r="AK976" s="9"/>
      <x:c r="AL976" s="10" t="n">
        <x:v>2.3</x:v>
      </x:c>
      <x:c r="AM976" s="10" t="n">
        <x:v>23.49</x:v>
      </x:c>
      <x:c r="AN976" s="10" t="n">
        <x:v>10.56</x:v>
      </x:c>
      <x:c r="AO976" s="9" t="str">
        <x:v>2026-10-25</x:v>
      </x:c>
      <x:c r="AP976" s="11" t="str">
        <x:f>HYPERLINK("https://www.pricecharting.com/game/pc-games/treasure-quest","PriceCharting")</x:f>
        <x:v>PriceCharting</x:v>
      </x:c>
      <x:c r="AQ976" s="9"/>
      <x:c r="AR976" s="9"/>
      <x:c r="AS976" s="9"/>
      <x:c r="AT976" s="9"/>
      <x:c r="AU976" s="9"/>
      <x:c r="AV976" s="9"/>
      <x:c r="AW976" s="9"/>
      <x:c r="AX976" s="9"/>
      <x:c r="AY976" s="9"/>
      <x:c r="AZ976" s="9"/>
      <x:c r="BA976" s="11" t="str">
        <x:f>HYPERLINK("https://www.mobygames.com/search/?q=Treasure+Quest","MobyGames")</x:f>
        <x:v>MobyGames</x:v>
      </x:c>
      <x:c r="BB976" s="9" t="str">
        <x:v>57%</x:v>
      </x:c>
      <x:c r="BC976" s="9" t="str">
        <x:v>GameRankings, 3 reviews</x:v>
      </x:c>
      <x:c r="BD976" s="9" t="str">
        <x:f>HYPERLINK("https://web.archive.org/web/20191209012627id_/https://www.gamerankings.com/pc/199103-treasure-quest/","Source")</x:f>
        <x:v>Source</x:v>
      </x:c>
      <x:c r="BE976" s="11" t="str">
        <x:f>HYPERLINK("https://en.wikipedia.org/wiki/Treasure_Quest_(video_game)","Wikipedia")</x:f>
        <x:v>Wikipedia</x:v>
      </x:c>
      <x:c r="BF976" s="11" t="str">
        <x:f>HYPERLINK("https://backloggd.com/search/games/Treasure%20Quest/","Backloggd")</x:f>
        <x:v>Backloggd</x:v>
      </x:c>
      <x:c r="BG976" s="9"/>
      <x:c r="BH976" s="9"/>
      <x:c r="BI976" s="12" t="str">
        <x:v>No</x:v>
      </x:c>
      <x:c r="BJ976" s="12" t="str"/>
      <x:c r="BK976" s="12" t="str">
        <x:v>No</x:v>
      </x:c>
      <x:c r="BL976" s="12" t="str"/>
      <x:c r="BM976" s="12" t="str"/>
      <x:c r="BN976" s="12" t="str"/>
      <x:c r="BO976" s="12" t="str"/>
      <x:c r="BP976" s="12" t="str"/>
      <x:c r="BQ976" s="12" t="str"/>
    </x:row>
    <x:row r="977">
      <x:c r="A977" s="9" t="str">
        <x:v>pc-296</x:v>
      </x:c>
      <x:c r="B977" s="9" t="str">
        <x:v>muppets-inside</x:v>
      </x:c>
      <x:c r="C977" s="9" t="str">
        <x:v>PC</x:v>
      </x:c>
      <x:c r="D977" s="9" t="str">
        <x:v>The Muppet CD-ROM: Muppets Inside</x:v>
      </x:c>
      <x:c r="E977" s="9" t="str"/>
      <x:c r="F977" s="9" t="str">
        <x:v>Starwave</x:v>
      </x:c>
      <x:c r="G977" s="9" t="str">
        <x:v>Starwave</x:v>
      </x:c>
      <x:c r="H977" s="9" t="n">
        <x:v>1996</x:v>
      </x:c>
      <x:c r="I977" s="9" t="str">
        <x:v>Yes</x:v>
      </x:c>
      <x:c r="J977" s="9" t="str">
        <x:v>No</x:v>
      </x:c>
      <x:c r="K977" s="9" t="str">
        <x:v>Yes</x:v>
      </x:c>
      <x:c r="L977" s="9" t="str">
        <x:v>No</x:v>
      </x:c>
      <x:c r="M977" s="9" t="str">
        <x:v>Comedy adventure with minigames</x:v>
      </x:c>
      <x:c r="N977" s="9" t="str">
        <x:v>Live-action (puppets)</x:v>
      </x:c>
      <x:c r="O977" s="9" t="n">
        <x:v>7</x:v>
      </x:c>
      <x:c r="P977" s="9" t="str">
        <x:v>FMV adventure</x:v>
      </x:c>
      <x:c r="Q977" s="9" t="str">
        <x:v>Released</x:v>
      </x:c>
      <x:c r="R977" s="9" t="str">
        <x:v>Original production</x:v>
      </x:c>
      <x:c r="S977" s="9"/>
      <x:c r="T977" s="9" t="str">
        <x:v>The Muppet performers, shot in London during Muppet Treasure Island (names verify)</x:v>
      </x:c>
      <x:c r="U977" s="9" t="n">
        <x:v>1</x:v>
      </x:c>
      <x:c r="V977" s="9" t="str">
        <x:v>Yes</x:v>
      </x:c>
      <x:c r="W977" s="9" t="str">
        <x:v>Windows 95, Pentium, 16 MB RAM, 4x CD-ROM (verify)</x:v>
      </x:c>
      <x:c r="X977" s="9" t="str">
        <x:v>Med</x:v>
      </x:c>
      <x:c r="Y977" s="9" t="str">
        <x:v>Muppet music and footage</x:v>
      </x:c>
      <x:c r="Z977" s="9" t="str">
        <x:v>2–4 hr</x:v>
      </x:c>
      <x:c r="AA977" s="9" t="str">
        <x:v>Kermit and Fozzie go inside your computer to rescue the cast through over an hour of new Muppet footage and seven parody minigames, including Kitchens of Doom.</x:v>
      </x:c>
      <x:c r="AB977" s="9" t="str">
        <x:v>None known</x:v>
      </x:c>
      <x:c r="AC977" s="9" t="str">
        <x:v>Over an hour of new filmed Muppet video framing the minigames</x:v>
      </x:c>
      <x:c r="AD977" s="9" t="str">
        <x:v>Easy</x:v>
      </x:c>
      <x:c r="AE977" s="9" t="str">
        <x:v>One</x:v>
      </x:c>
      <x:c r="AF977" s="9" t="str">
        <x:v>PC Gamer 88%, Entertainment Weekly A; a 1997 CODiE for Best Overall Multimedia Production. Developed in about a year by 150 people across studios.</x:v>
      </x:c>
      <x:c r="AG977" s="9" t="str">
        <x:v>Windows CD-ROM with a 30-page booklet and the 'Muppetizer' desktop pack</x:v>
      </x:c>
      <x:c r="AH977" s="9" t="str">
        <x:v>No</x:v>
      </x:c>
      <x:c r="AI977" s="9" t="str">
        <x:v>Easy</x:v>
      </x:c>
      <x:c r="AJ977" s="9" t="str">
        <x:v>Original disc in DOSBox or a Windows 9x virtual machine; disc images circulate</x:v>
      </x:c>
      <x:c r="AK977" s="9"/>
      <x:c r="AL977" s="10"/>
      <x:c r="AM977" s="10"/>
      <x:c r="AN977" s="10"/>
      <x:c r="AO977" s="9"/>
      <x:c r="AP977" s="11" t="str">
        <x:f>HYPERLINK("https://www.pricecharting.com/search-products?q=The+Muppet+CD-ROM%3A+Muppets+Inside+pc+games&amp;type=prices","PriceCharting")</x:f>
        <x:v>PriceCharting</x:v>
      </x:c>
      <x:c r="AQ977" s="9"/>
      <x:c r="AR977" s="9"/>
      <x:c r="AS977" s="9"/>
      <x:c r="AT977" s="9"/>
      <x:c r="AU977" s="9" t="str">
        <x:v>No market</x:v>
      </x:c>
      <x:c r="AV977" s="9" t="str">
        <x:v>Not sold on Steam or GOG (checked 2026-10-25) and no PriceCharting listing.</x:v>
      </x:c>
      <x:c r="AW977" s="9"/>
      <x:c r="AX977" s="9"/>
      <x:c r="AY977" s="9"/>
      <x:c r="AZ977" s="9" t="str">
        <x:v>5.0</x:v>
      </x:c>
      <x:c r="BA977" s="11" t="str">
        <x:f>HYPERLINK("https://www.mobygames.com/game/windows/muppet-cd-rom-muppets-inside","MobyGames")</x:f>
        <x:v>MobyGames</x:v>
      </x:c>
      <x:c r="BB977" s="9" t="str">
        <x:v>88%</x:v>
      </x:c>
      <x:c r="BC977" s="9" t="str">
        <x:v>PC Gamer (US), 1 review</x:v>
      </x:c>
      <x:c r="BD977" s="9" t="str">
        <x:f>HYPERLINK("https://en.wikipedia.org/wiki/Muppets_Inside","Source")</x:f>
        <x:v>Source</x:v>
      </x:c>
      <x:c r="BE977" s="11" t="str">
        <x:f>HYPERLINK("https://en.wikipedia.org/wiki/Muppets_Inside","Wikipedia")</x:f>
        <x:v>Wikipedia</x:v>
      </x:c>
      <x:c r="BF977" s="11" t="str">
        <x:f>HYPERLINK("https://backloggd.com/search/games/The%20Muppet%20CD-ROM%3A%20Muppets%20Inside/","Backloggd")</x:f>
        <x:v>Backloggd</x:v>
      </x:c>
      <x:c r="BG977" s="9"/>
      <x:c r="BH977" s="9"/>
      <x:c r="BI977" s="12" t="str">
        <x:v>No</x:v>
      </x:c>
      <x:c r="BJ977" s="12" t="str"/>
      <x:c r="BK977" s="12" t="str">
        <x:v>No</x:v>
      </x:c>
      <x:c r="BL977" s="12" t="str"/>
      <x:c r="BM977" s="12" t="str"/>
      <x:c r="BN977" s="12" t="str"/>
      <x:c r="BO977" s="12" t="str"/>
      <x:c r="BP977" s="12" t="str"/>
      <x:c r="BQ977" s="12" t="str"/>
    </x:row>
    <x:row r="978">
      <x:c r="A978" s="9" t="str">
        <x:v>pc-297</x:v>
      </x:c>
      <x:c r="B978" s="9" t="str">
        <x:v>multimedia-celebrity-poker</x:v>
      </x:c>
      <x:c r="C978" s="9" t="str">
        <x:v>PC</x:v>
      </x:c>
      <x:c r="D978" s="9" t="str">
        <x:v>Multimedia Celebrity Poker</x:v>
      </x:c>
      <x:c r="E978" s="9" t="str"/>
      <x:c r="F978" s="9" t="str">
        <x:v>New World Computing</x:v>
      </x:c>
      <x:c r="G978" s="9" t="str">
        <x:v>New World Computing</x:v>
      </x:c>
      <x:c r="H978" s="9" t="n">
        <x:v>1995</x:v>
      </x:c>
      <x:c r="I978" s="9" t="str">
        <x:v>Yes</x:v>
      </x:c>
      <x:c r="J978" s="9" t="str">
        <x:v>No</x:v>
      </x:c>
      <x:c r="K978" s="9" t="str">
        <x:v>Yes</x:v>
      </x:c>
      <x:c r="L978" s="9" t="str">
        <x:v>No</x:v>
      </x:c>
      <x:c r="M978" s="9" t="str">
        <x:v>Poker with filmed opponents</x:v>
      </x:c>
      <x:c r="N978" s="9" t="str">
        <x:v>Live-action</x:v>
      </x:c>
      <x:c r="O978" s="9" t="n">
        <x:v>7</x:v>
      </x:c>
      <x:c r="P978" s="9" t="str">
        <x:v>Game show / trivia</x:v>
      </x:c>
      <x:c r="Q978" s="9" t="str">
        <x:v>Released</x:v>
      </x:c>
      <x:c r="R978" s="9" t="str">
        <x:v>Original production</x:v>
      </x:c>
      <x:c r="S978" s="9"/>
      <x:c r="T978" s="9" t="str">
        <x:v>Jonathan Frakes, Morgan Fairchild, Joe Piscopo</x:v>
      </x:c>
      <x:c r="U978" s="9" t="n">
        <x:v>1</x:v>
      </x:c>
      <x:c r="V978" s="9" t="str">
        <x:v>Yes</x:v>
      </x:c>
      <x:c r="W978" s="9" t="str">
        <x:v>Windows 3.1, 486, 8 MB RAM, 2x CD-ROM (verify)</x:v>
      </x:c>
      <x:c r="X978" s="9" t="str">
        <x:v>Low</x:v>
      </x:c>
      <x:c r="Y978" s="9" t="str"/>
      <x:c r="Z978" s="9" t="str">
        <x:v>Open-ended</x:v>
      </x:c>
      <x:c r="AA978" s="9" t="str">
        <x:v>Jon Van Caneghem's poker night: Commander Riker, Morgan Fairchild and Joe Piscopo needle you on video, until the clips repeat.</x:v>
      </x:c>
      <x:c r="AB978" s="9" t="str">
        <x:v>None known</x:v>
      </x:c>
      <x:c r="AC978" s="9" t="str">
        <x:v>Filmed table talk and reactions from the three celebrities</x:v>
      </x:c>
      <x:c r="AD978" s="9" t="str">
        <x:v>Easy</x:v>
      </x:c>
      <x:c r="AE978" s="9" t="str">
        <x:v>None</x:v>
      </x:c>
      <x:c r="AF978" s="9" t="str">
        <x:v>PC Gamer 58% ('just a poker sim with a gimmick'), Computer Gaming World 2.5/5, Computer Game Review 83/87/78, Electronic Entertainment 2/5.</x:v>
      </x:c>
      <x:c r="AG978" s="9" t="str">
        <x:v>Windows 3.x CD-ROM</x:v>
      </x:c>
      <x:c r="AH978" s="9" t="str">
        <x:v>No</x:v>
      </x:c>
      <x:c r="AI978" s="9" t="str">
        <x:v>Easy</x:v>
      </x:c>
      <x:c r="AJ978" s="9" t="str">
        <x:v>Original disc in DOSBox or a Windows 9x virtual machine; disc images circulate</x:v>
      </x:c>
      <x:c r="AK978" s="9"/>
      <x:c r="AL978" s="10"/>
      <x:c r="AM978" s="10"/>
      <x:c r="AN978" s="10"/>
      <x:c r="AO978" s="9"/>
      <x:c r="AP978" s="11" t="str">
        <x:f>HYPERLINK("https://www.pricecharting.com/search-products?q=Multimedia+Celebrity+Poker+pc+games&amp;type=prices","PriceCharting")</x:f>
        <x:v>PriceCharting</x:v>
      </x:c>
      <x:c r="AQ978" s="9"/>
      <x:c r="AR978" s="9"/>
      <x:c r="AS978" s="9"/>
      <x:c r="AT978" s="9"/>
      <x:c r="AU978" s="9" t="str">
        <x:v>No market</x:v>
      </x:c>
      <x:c r="AV978" s="9" t="str">
        <x:v>Not sold on Steam or GOG (checked 2026-10-25) and no PriceCharting listing.</x:v>
      </x:c>
      <x:c r="AW978" s="9"/>
      <x:c r="AX978" s="9"/>
      <x:c r="AY978" s="9"/>
      <x:c r="AZ978" s="9"/>
      <x:c r="BA978" s="11" t="str">
        <x:f>HYPERLINK("https://www.mobygames.com/search/?q=Multimedia+Celebrity+Poker","MobyGames")</x:f>
        <x:v>MobyGames</x:v>
      </x:c>
      <x:c r="BB978" s="9" t="str">
        <x:v>58%</x:v>
      </x:c>
      <x:c r="BC978" s="9" t="str">
        <x:v>PC Gamer (US), 1 review</x:v>
      </x:c>
      <x:c r="BD978" s="9" t="str">
        <x:f>HYPERLINK("https://en.wikipedia.org/wiki/Multimedia_Celebrity_Poker","Source")</x:f>
        <x:v>Source</x:v>
      </x:c>
      <x:c r="BE978" s="11" t="str">
        <x:f>HYPERLINK("https://en.wikipedia.org/wiki/Multimedia_Celebrity_Poker","Wikipedia")</x:f>
        <x:v>Wikipedia</x:v>
      </x:c>
      <x:c r="BF978" s="11" t="str">
        <x:f>HYPERLINK("https://backloggd.com/search/games/Multimedia%20Celebrity%20Poker/","Backloggd")</x:f>
        <x:v>Backloggd</x:v>
      </x:c>
      <x:c r="BG978" s="9"/>
      <x:c r="BH978" s="9"/>
      <x:c r="BI978" s="12" t="str">
        <x:v>No</x:v>
      </x:c>
      <x:c r="BJ978" s="12" t="str"/>
      <x:c r="BK978" s="12" t="str">
        <x:v>No</x:v>
      </x:c>
      <x:c r="BL978" s="12" t="str"/>
      <x:c r="BM978" s="12" t="str"/>
      <x:c r="BN978" s="12" t="str"/>
      <x:c r="BO978" s="12" t="str"/>
      <x:c r="BP978" s="12" t="str"/>
      <x:c r="BQ978" s="12" t="str"/>
    </x:row>
    <x:row r="979">
      <x:c r="A979" s="9" t="str">
        <x:v>pc-298</x:v>
      </x:c>
      <x:c r="B979" s="9" t="str">
        <x:v>rolling-stones-voodoo-lounge</x:v>
      </x:c>
      <x:c r="C979" s="9" t="str">
        <x:v>PC</x:v>
      </x:c>
      <x:c r="D979" s="9" t="str">
        <x:v>Rolling Stones: Voodoo Lounge CD-ROM</x:v>
      </x:c>
      <x:c r="E979" s="9" t="str"/>
      <x:c r="F979" s="9" t="str">
        <x:v>Second Vision (verify)</x:v>
      </x:c>
      <x:c r="G979" s="9" t="str">
        <x:v>GTE Entertainment</x:v>
      </x:c>
      <x:c r="H979" s="9" t="n">
        <x:v>1995</x:v>
      </x:c>
      <x:c r="I979" s="9" t="str">
        <x:v>Yes</x:v>
      </x:c>
      <x:c r="J979" s="9" t="str">
        <x:v>No</x:v>
      </x:c>
      <x:c r="K979" s="9" t="str">
        <x:v>Yes</x:v>
      </x:c>
      <x:c r="L979" s="9" t="str">
        <x:v>No</x:v>
      </x:c>
      <x:c r="M979" s="9" t="str">
        <x:v>Interactive music exploration</x:v>
      </x:c>
      <x:c r="N979" s="9" t="str">
        <x:v>Live-action</x:v>
      </x:c>
      <x:c r="O979" s="9" t="n">
        <x:v>5</x:v>
      </x:c>
      <x:c r="P979" s="9" t="str">
        <x:v>Non-game video</x:v>
      </x:c>
      <x:c r="Q979" s="9" t="str">
        <x:v>Released</x:v>
      </x:c>
      <x:c r="R979" s="9" t="str">
        <x:v>Original production</x:v>
      </x:c>
      <x:c r="S979" s="9" t="str">
        <x:v>Macintosh</x:v>
      </x:c>
      <x:c r="T979" s="9" t="str">
        <x:v>The Rolling Stones</x:v>
      </x:c>
      <x:c r="U979" s="9" t="n">
        <x:v>1</x:v>
      </x:c>
      <x:c r="V979" s="9" t="str">
        <x:v>Yes</x:v>
      </x:c>
      <x:c r="W979" s="9" t="str">
        <x:v>Windows 3.1, 486, 8 MB RAM, 2x CD-ROM (verify)</x:v>
      </x:c>
      <x:c r="X979" s="9" t="str">
        <x:v>HIGH</x:v>
      </x:c>
      <x:c r="Y979" s="9" t="str">
        <x:v>Rolling Stones recordings and concert footage</x:v>
      </x:c>
      <x:c r="Z979" s="9" t="str">
        <x:v>1–2 hr</x:v>
      </x:c>
      <x:c r="AA979" s="9" t="str">
        <x:v>A virtual Voodoo Lounge club full of Stones video, outtakes and a backstage game; a music CD-ROM more than a game, kept because it is all video.</x:v>
      </x:c>
      <x:c r="AB979" s="9" t="str">
        <x:v>None known</x:v>
      </x:c>
      <x:c r="AC979" s="9" t="str">
        <x:v>Concert and interview footage inside an explorable club</x:v>
      </x:c>
      <x:c r="AD979" s="9" t="str">
        <x:v>Easy</x:v>
      </x:c>
      <x:c r="AE979" s="9" t="str">
        <x:v>None</x:v>
      </x:c>
      <x:c r="AF979" s="9" t="str">
        <x:v>One of the 1995 wave of band CD-ROMs (Prince, Peter Gabriel's Xplora1, Bowie's Jump). Details verify.</x:v>
      </x:c>
      <x:c r="AG979" s="9" t="str">
        <x:v>Windows/Macintosh hybrid</x:v>
      </x:c>
      <x:c r="AH979" s="9" t="str">
        <x:v>No</x:v>
      </x:c>
      <x:c r="AI979" s="9" t="str">
        <x:v>Easy</x:v>
      </x:c>
      <x:c r="AJ979" s="9" t="str">
        <x:v>Original disc in DOSBox or a Windows 9x virtual machine; disc images circulate</x:v>
      </x:c>
      <x:c r="AK979" s="9" t="str">
        <x:v>Borderline non-game; in because FMV World lists it as an FMV game.</x:v>
      </x:c>
      <x:c r="AL979" s="10"/>
      <x:c r="AM979" s="10"/>
      <x:c r="AN979" s="10"/>
      <x:c r="AO979" s="9"/>
      <x:c r="AP979" s="11" t="str">
        <x:f>HYPERLINK("https://www.pricecharting.com/search-products?q=Rolling+Stones%3A+Voodoo+Lounge+CD-ROM+pc+games&amp;type=prices","PriceCharting")</x:f>
        <x:v>PriceCharting</x:v>
      </x:c>
      <x:c r="AQ979" s="9"/>
      <x:c r="AR979" s="9"/>
      <x:c r="AS979" s="9"/>
      <x:c r="AT979" s="9"/>
      <x:c r="AU979" s="9" t="str">
        <x:v>No market</x:v>
      </x:c>
      <x:c r="AV979" s="9" t="str">
        <x:v>Not sold on Steam or GOG (checked 2026-10-25) and no PriceCharting listing.</x:v>
      </x:c>
      <x:c r="AW979" s="9"/>
      <x:c r="AX979" s="9"/>
      <x:c r="AY979" s="9"/>
      <x:c r="AZ979" s="9"/>
      <x:c r="BA979" s="11" t="str">
        <x:f>HYPERLINK("https://www.mobygames.com/game/1902/rolling-stones-voodoo-lounge-cd-rom/","MobyGames")</x:f>
        <x:v>MobyGames</x:v>
      </x:c>
      <x:c r="BB979" s="9" t="str"/>
      <x:c r="BC979" s="9" t="str"/>
      <x:c r="BD979" s="9"/>
      <x:c r="BE979" s="9"/>
      <x:c r="BF979" s="11" t="str">
        <x:f>HYPERLINK("https://backloggd.com/search/games/Rolling%20Stones%3A%20Voodoo%20Lounge%20CD-ROM/","Backloggd")</x:f>
        <x:v>Backloggd</x:v>
      </x:c>
      <x:c r="BG979" s="9"/>
      <x:c r="BH979" s="9"/>
      <x:c r="BI979" s="12" t="str">
        <x:v>No</x:v>
      </x:c>
      <x:c r="BJ979" s="12" t="str"/>
      <x:c r="BK979" s="12" t="str">
        <x:v>No</x:v>
      </x:c>
      <x:c r="BL979" s="12" t="str"/>
      <x:c r="BM979" s="12" t="str"/>
      <x:c r="BN979" s="12" t="str"/>
      <x:c r="BO979" s="12" t="str"/>
      <x:c r="BP979" s="12" t="str"/>
      <x:c r="BQ979" s="12" t="str"/>
    </x:row>
    <x:row r="980">
      <x:c r="A980" s="9" t="str">
        <x:v>pc-299</x:v>
      </x:c>
      <x:c r="B980" s="9" t="str">
        <x:v>virtual-corporation</x:v>
      </x:c>
      <x:c r="C980" s="9" t="str">
        <x:v>PC</x:v>
      </x:c>
      <x:c r="D980" s="9" t="str">
        <x:v>Virtual Corporation</x:v>
      </x:c>
      <x:c r="E980" s="9" t="str"/>
      <x:c r="F980" s="9" t="str">
        <x:v>Ikarion (verify)</x:v>
      </x:c>
      <x:c r="G980" s="9" t="str">
        <x:v>TopWare Interactive (verify)</x:v>
      </x:c>
      <x:c r="H980" s="9" t="n">
        <x:v>1996</x:v>
      </x:c>
      <x:c r="I980" s="9" t="str">
        <x:v>Yes</x:v>
      </x:c>
      <x:c r="J980" s="9" t="str">
        <x:v>No</x:v>
      </x:c>
      <x:c r="K980" s="9" t="str">
        <x:v>Yes</x:v>
      </x:c>
      <x:c r="L980" s="9" t="str">
        <x:v>No</x:v>
      </x:c>
      <x:c r="M980" s="9" t="str">
        <x:v>Speech-controlled multimedia adventure</x:v>
      </x:c>
      <x:c r="N980" s="9" t="str">
        <x:v>Live-action</x:v>
      </x:c>
      <x:c r="O980" s="9" t="n">
        <x:v>8</x:v>
      </x:c>
      <x:c r="P980" s="9" t="str">
        <x:v>Interactive movie</x:v>
      </x:c>
      <x:c r="Q980" s="9" t="str">
        <x:v>Released</x:v>
      </x:c>
      <x:c r="R980" s="9" t="str">
        <x:v>Original production</x:v>
      </x:c>
      <x:c r="S980" s="9"/>
      <x:c r="T980" s="9" t="str">
        <x:v>Filmed office cast (names verify)</x:v>
      </x:c>
      <x:c r="U980" s="9" t="n">
        <x:v>1</x:v>
      </x:c>
      <x:c r="V980" s="9" t="str">
        <x:v>Yes</x:v>
      </x:c>
      <x:c r="W980" s="9" t="str">
        <x:v>Windows 95, Pentium, 16 MB RAM, 4x CD-ROM (verify)</x:v>
      </x:c>
      <x:c r="X980" s="9" t="str">
        <x:v>Low</x:v>
      </x:c>
      <x:c r="Y980" s="9" t="str"/>
      <x:c r="Z980" s="9" t="str">
        <x:v>2–3 hr</x:v>
      </x:c>
      <x:c r="AA980" s="9" t="str">
        <x:v>Climb a future company and catch a murderer by talking to filmed actors through the bundled microphone; MobyGames critics average 35%.</x:v>
      </x:c>
      <x:c r="AB980" s="9" t="str">
        <x:v>None known</x:v>
      </x:c>
      <x:c r="AC980" s="9" t="str">
        <x:v>Filmed actors in near-static clips over rendered backgrounds, driven by multiple-choice and speech input</x:v>
      </x:c>
      <x:c r="AD980" s="9" t="str">
        <x:v>Easy; the window-ejection game over plays often</x:v>
      </x:c>
      <x:c r="AE980" s="9" t="str">
        <x:v>Several</x:v>
      </x:c>
      <x:c r="AF980" s="9" t="str">
        <x:v>Billed as the first speech-controlled 'multimedia adventure', with a microphone in the box. MobyGames 35% from 7 critics, 1.2/5 from players.</x:v>
      </x:c>
      <x:c r="AG980" s="9" t="str">
        <x:v>Windows CD-ROM with microphone</x:v>
      </x:c>
      <x:c r="AH980" s="9" t="str">
        <x:v>No</x:v>
      </x:c>
      <x:c r="AI980" s="9" t="str">
        <x:v>Easy</x:v>
      </x:c>
      <x:c r="AJ980" s="9" t="str">
        <x:v>Original disc in DOSBox or a Windows 9x virtual machine; disc images circulate</x:v>
      </x:c>
      <x:c r="AK980" s="9"/>
      <x:c r="AL980" s="10"/>
      <x:c r="AM980" s="10"/>
      <x:c r="AN980" s="10"/>
      <x:c r="AO980" s="9"/>
      <x:c r="AP980" s="11" t="str">
        <x:f>HYPERLINK("https://www.pricecharting.com/search-products?q=Virtual+Corporation+pc+games&amp;type=prices","PriceCharting")</x:f>
        <x:v>PriceCharting</x:v>
      </x:c>
      <x:c r="AQ980" s="9"/>
      <x:c r="AR980" s="9"/>
      <x:c r="AS980" s="9"/>
      <x:c r="AT980" s="9"/>
      <x:c r="AU980" s="9" t="str">
        <x:v>No market</x:v>
      </x:c>
      <x:c r="AV980" s="9" t="str">
        <x:v>Not sold on Steam or GOG (checked 2026-10-25) and no PriceCharting listing.</x:v>
      </x:c>
      <x:c r="AW980" s="9"/>
      <x:c r="AX980" s="9"/>
      <x:c r="AY980" s="9" t="str">
        <x:v>35%</x:v>
      </x:c>
      <x:c r="AZ980" s="9" t="str">
        <x:v>1.2</x:v>
      </x:c>
      <x:c r="BA980" s="11" t="str">
        <x:f>HYPERLINK("https://www.mobygames.com/game/805/virtual-corporation/","MobyGames")</x:f>
        <x:v>MobyGames</x:v>
      </x:c>
      <x:c r="BB980" s="9" t="str"/>
      <x:c r="BC980" s="9" t="str"/>
      <x:c r="BD980" s="9"/>
      <x:c r="BE980" s="9"/>
      <x:c r="BF980" s="11" t="str">
        <x:f>HYPERLINK("https://backloggd.com/search/games/Virtual%20Corporation/","Backloggd")</x:f>
        <x:v>Backloggd</x:v>
      </x:c>
      <x:c r="BG980" s="9"/>
      <x:c r="BH980" s="9"/>
      <x:c r="BI980" s="12" t="str">
        <x:v>No</x:v>
      </x:c>
      <x:c r="BJ980" s="12" t="str"/>
      <x:c r="BK980" s="12" t="str">
        <x:v>No</x:v>
      </x:c>
      <x:c r="BL980" s="12" t="str"/>
      <x:c r="BM980" s="12" t="str"/>
      <x:c r="BN980" s="12" t="str"/>
      <x:c r="BO980" s="12" t="str"/>
      <x:c r="BP980" s="12" t="str"/>
      <x:c r="BQ980" s="12" t="str"/>
    </x:row>
    <x:row r="981">
      <x:c r="A981" s="9" t="str">
        <x:v>pc-300</x:v>
      </x:c>
      <x:c r="B981" s="9" t="str">
        <x:v>beyond-time</x:v>
      </x:c>
      <x:c r="C981" s="9" t="str">
        <x:v>PC</x:v>
      </x:c>
      <x:c r="D981" s="9" t="str">
        <x:v>Beyond Time</x:v>
      </x:c>
      <x:c r="E981" s="9" t="str">
        <x:v>Shadow of the Obelisk; Obelisk</x:v>
      </x:c>
      <x:c r="F981" s="9" t="str">
        <x:v>Fresh Air Software (verify)</x:v>
      </x:c>
      <x:c r="G981" s="9" t="str">
        <x:v>DreamCatcher Interactive</x:v>
      </x:c>
      <x:c r="H981" s="9" t="n">
        <x:v>1997</x:v>
      </x:c>
      <x:c r="I981" s="9" t="str">
        <x:v>Yes</x:v>
      </x:c>
      <x:c r="J981" s="9" t="str">
        <x:v>No</x:v>
      </x:c>
      <x:c r="K981" s="9" t="str">
        <x:v>Yes</x:v>
      </x:c>
      <x:c r="L981" s="9" t="str">
        <x:v>No</x:v>
      </x:c>
      <x:c r="M981" s="9" t="str">
        <x:v>Time-travel puzzle adventure</x:v>
      </x:c>
      <x:c r="N981" s="9" t="str">
        <x:v>Live-action</x:v>
      </x:c>
      <x:c r="O981" s="9" t="n">
        <x:v>5</x:v>
      </x:c>
      <x:c r="P981" s="9" t="str">
        <x:v>FMV adventure</x:v>
      </x:c>
      <x:c r="Q981" s="9" t="str">
        <x:v>Released</x:v>
      </x:c>
      <x:c r="R981" s="9" t="str">
        <x:v>Original production</x:v>
      </x:c>
      <x:c r="S981" s="9"/>
      <x:c r="T981" s="9" t="str">
        <x:v>Filmed scenes credited to a director of photography and video editor (names verify)</x:v>
      </x:c>
      <x:c r="U981" s="9" t="n">
        <x:v>1</x:v>
      </x:c>
      <x:c r="V981" s="9" t="str">
        <x:v>Yes</x:v>
      </x:c>
      <x:c r="W981" s="9" t="str">
        <x:v>Windows 95, Pentium, 16 MB RAM, 4x CD-ROM (verify)</x:v>
      </x:c>
      <x:c r="X981" s="9" t="str">
        <x:v>Low</x:v>
      </x:c>
      <x:c r="Y981" s="9" t="str"/>
      <x:c r="Z981" s="9" t="str">
        <x:v>4–6 hr</x:v>
      </x:c>
      <x:c r="AA981" s="9" t="str">
        <x:v>Finished as 'Obelisk' in 1995 and shelved for two years, a Myst-style trip to Egypt, Tibet, the Yucatán and Atlantis that CGW made a Coaster of the Year runner-up.</x:v>
      </x:c>
      <x:c r="AB981" s="9" t="str">
        <x:v>None known</x:v>
      </x:c>
      <x:c r="AC981" s="9" t="str">
        <x:v>Filmed sequences between rendered stills (verify how much)</x:v>
      </x:c>
      <x:c r="AD981" s="9" t="str">
        <x:v>Moderate</x:v>
      </x:c>
      <x:c r="AE981" s="9" t="str">
        <x:v>One</x:v>
      </x:c>
      <x:c r="AF981" s="9" t="str">
        <x:v>Based on Judith Kaye Jones's novel Obelisk. MobyGames 44% from 8 critics; runner-up for Coaster of the Year (Adventure) in Computer Gaming World #177.</x:v>
      </x:c>
      <x:c r="AG981" s="9" t="str">
        <x:v>Windows CD-ROM</x:v>
      </x:c>
      <x:c r="AH981" s="9" t="str">
        <x:v>No</x:v>
      </x:c>
      <x:c r="AI981" s="9" t="str">
        <x:v>Easy</x:v>
      </x:c>
      <x:c r="AJ981" s="9" t="str">
        <x:v>Original disc in DOSBox or a Windows 9x virtual machine; disc images circulate</x:v>
      </x:c>
      <x:c r="AK981" s="9"/>
      <x:c r="AL981" s="10" t="n">
        <x:v>3.42</x:v>
      </x:c>
      <x:c r="AM981" s="10" t="n">
        <x:v>15.07</x:v>
      </x:c>
      <x:c r="AN981" s="10" t="n">
        <x:v>7.93</x:v>
      </x:c>
      <x:c r="AO981" s="9" t="str">
        <x:v>2026-10-25</x:v>
      </x:c>
      <x:c r="AP981" s="11" t="str">
        <x:f>HYPERLINK("https://www.pricecharting.com/game/pc-games/beyond-time","PriceCharting")</x:f>
        <x:v>PriceCharting</x:v>
      </x:c>
      <x:c r="AQ981" s="9"/>
      <x:c r="AR981" s="9"/>
      <x:c r="AS981" s="9"/>
      <x:c r="AT981" s="9"/>
      <x:c r="AU981" s="9"/>
      <x:c r="AV981" s="9"/>
      <x:c r="AW981" s="9"/>
      <x:c r="AX981" s="9"/>
      <x:c r="AY981" s="9" t="str">
        <x:v>47%</x:v>
      </x:c>
      <x:c r="AZ981" s="9" t="str">
        <x:v>3.0</x:v>
      </x:c>
      <x:c r="BA981" s="11" t="str">
        <x:f>HYPERLINK("https://www.mobygames.com/game/windows/beyond-time","MobyGames")</x:f>
        <x:v>MobyGames</x:v>
      </x:c>
      <x:c r="BB981" s="9" t="str"/>
      <x:c r="BC981" s="9" t="str"/>
      <x:c r="BD981" s="9"/>
      <x:c r="BE981" s="9"/>
      <x:c r="BF981" s="11" t="str">
        <x:f>HYPERLINK("https://backloggd.com/search/games/Beyond%20Time/","Backloggd")</x:f>
        <x:v>Backloggd</x:v>
      </x:c>
      <x:c r="BG981" s="9"/>
      <x:c r="BH981" s="9"/>
      <x:c r="BI981" s="12" t="str">
        <x:v>No</x:v>
      </x:c>
      <x:c r="BJ981" s="12" t="str"/>
      <x:c r="BK981" s="12" t="str">
        <x:v>No</x:v>
      </x:c>
      <x:c r="BL981" s="12" t="str"/>
      <x:c r="BM981" s="12" t="str"/>
      <x:c r="BN981" s="12" t="str"/>
      <x:c r="BO981" s="12" t="str"/>
      <x:c r="BP981" s="12" t="str"/>
      <x:c r="BQ981" s="12" t="str"/>
    </x:row>
    <x:row r="982">
      <x:c r="A982" s="9" t="str">
        <x:v>pc-301</x:v>
      </x:c>
      <x:c r="B982" s="9" t="str">
        <x:v>synnergist</x:v>
      </x:c>
      <x:c r="C982" s="9" t="str">
        <x:v>PC</x:v>
      </x:c>
      <x:c r="D982" s="9" t="str">
        <x:v>Synnergist</x:v>
      </x:c>
      <x:c r="E982" s="9" t="str"/>
      <x:c r="F982" s="9" t="str">
        <x:v>Vicarious Visions</x:v>
      </x:c>
      <x:c r="G982" s="9" t="str">
        <x:v>21st Century Entertainment</x:v>
      </x:c>
      <x:c r="H982" s="9" t="n">
        <x:v>1996</x:v>
      </x:c>
      <x:c r="I982" s="9" t="str">
        <x:v>No</x:v>
      </x:c>
      <x:c r="J982" s="9" t="str">
        <x:v>No</x:v>
      </x:c>
      <x:c r="K982" s="9" t="str">
        <x:v>Yes</x:v>
      </x:c>
      <x:c r="L982" s="9" t="str">
        <x:v>No</x:v>
      </x:c>
      <x:c r="M982" s="9" t="str">
        <x:v>Cyberpunk point-and-click adventure</x:v>
      </x:c>
      <x:c r="N982" s="9" t="str">
        <x:v>Digitized actors</x:v>
      </x:c>
      <x:c r="O982" s="9" t="n">
        <x:v>5</x:v>
      </x:c>
      <x:c r="P982" s="9" t="str">
        <x:v>FMV adventure</x:v>
      </x:c>
      <x:c r="Q982" s="9" t="str">
        <x:v>Released</x:v>
      </x:c>
      <x:c r="R982" s="9" t="str">
        <x:v>Original production</x:v>
      </x:c>
      <x:c r="S982" s="9"/>
      <x:c r="T982" s="9" t="str">
        <x:v>Almost 70 digitized actors</x:v>
      </x:c>
      <x:c r="U982" s="9" t="n">
        <x:v>1</x:v>
      </x:c>
      <x:c r="V982" s="9" t="str">
        <x:v>Yes</x:v>
      </x:c>
      <x:c r="W982" s="9" t="str">
        <x:v>MS-DOS, 486, 8 MB RAM, 2x CD-ROM (verify)</x:v>
      </x:c>
      <x:c r="X982" s="9" t="str">
        <x:v>Low</x:v>
      </x:c>
      <x:c r="Y982" s="9" t="str"/>
      <x:c r="Z982" s="9" t="str">
        <x:v>6–8 hr</x:v>
      </x:c>
      <x:c r="AA982" s="9" t="str">
        <x:v>Vicarious Visions' debut, made while its founders were in high school: a European-only cyberpunk adventure with nearly 70 digitized actors.</x:v>
      </x:c>
      <x:c r="AB982" s="9" t="str">
        <x:v>None known</x:v>
      </x:c>
      <x:c r="AC982" s="9" t="str">
        <x:v>Digitized actors and full-motion video sequences in a 2010 New Arhus</x:v>
      </x:c>
      <x:c r="AD982" s="9" t="str">
        <x:v>Moderate</x:v>
      </x:c>
      <x:c r="AE982" s="9" t="str">
        <x:v>One</x:v>
      </x:c>
      <x:c r="AF982" s="9" t="str">
        <x:v>Coming Soon 81%, PC Player (DK) 73, PC Games (DE) 68, Power Play 40. Europe only.</x:v>
      </x:c>
      <x:c r="AG982" s="9" t="str">
        <x:v>DOS CD-ROM (Europe)</x:v>
      </x:c>
      <x:c r="AH982" s="9" t="str">
        <x:v>No</x:v>
      </x:c>
      <x:c r="AI982" s="9" t="str">
        <x:v>Import</x:v>
      </x:c>
      <x:c r="AJ982" s="9" t="str">
        <x:v>Original disc in DOSBox or a Windows 9x virtual machine; disc images circulate</x:v>
      </x:c>
      <x:c r="AK982" s="9"/>
      <x:c r="AL982" s="10"/>
      <x:c r="AM982" s="10"/>
      <x:c r="AN982" s="10"/>
      <x:c r="AO982" s="9"/>
      <x:c r="AP982" s="11" t="str">
        <x:f>HYPERLINK("https://www.pricecharting.com/search-products?q=Synnergist+pc+games&amp;type=prices","PriceCharting")</x:f>
        <x:v>PriceCharting</x:v>
      </x:c>
      <x:c r="AQ982" s="9"/>
      <x:c r="AR982" s="9"/>
      <x:c r="AS982" s="9"/>
      <x:c r="AT982" s="9"/>
      <x:c r="AU982" s="9" t="str">
        <x:v>No market</x:v>
      </x:c>
      <x:c r="AV982" s="9" t="str">
        <x:v>Not sold on Steam or GOG (checked 2026-10-25) and no PriceCharting listing.</x:v>
      </x:c>
      <x:c r="AW982" s="9"/>
      <x:c r="AX982" s="9"/>
      <x:c r="AY982" s="9" t="str">
        <x:v>61%</x:v>
      </x:c>
      <x:c r="AZ982" s="9"/>
      <x:c r="BA982" s="11" t="str">
        <x:f>HYPERLINK("https://www.mobygames.com/game/dos/synnergist","MobyGames")</x:f>
        <x:v>MobyGames</x:v>
      </x:c>
      <x:c r="BB982" s="9" t="str">
        <x:v>62%</x:v>
      </x:c>
      <x:c r="BC982" s="9" t="str">
        <x:v>Wikipedia review table, 7 reviews (approx.)</x:v>
      </x:c>
      <x:c r="BD982" s="9" t="str">
        <x:f>HYPERLINK("https://en.wikipedia.org/wiki/Synnergist","Source")</x:f>
        <x:v>Source</x:v>
      </x:c>
      <x:c r="BE982" s="11" t="str">
        <x:f>HYPERLINK("https://en.wikipedia.org/wiki/Synnergist","Wikipedia")</x:f>
        <x:v>Wikipedia</x:v>
      </x:c>
      <x:c r="BF982" s="11" t="str">
        <x:f>HYPERLINK("https://backloggd.com/search/games/Synnergist/","Backloggd")</x:f>
        <x:v>Backloggd</x:v>
      </x:c>
      <x:c r="BG982" s="9"/>
      <x:c r="BH982" s="9"/>
      <x:c r="BI982" s="12" t="str">
        <x:v>No</x:v>
      </x:c>
      <x:c r="BJ982" s="12" t="str"/>
      <x:c r="BK982" s="12" t="str">
        <x:v>No</x:v>
      </x:c>
      <x:c r="BL982" s="12" t="str"/>
      <x:c r="BM982" s="12" t="str"/>
      <x:c r="BN982" s="12" t="str"/>
      <x:c r="BO982" s="12" t="str"/>
      <x:c r="BP982" s="12" t="str"/>
      <x:c r="BQ982" s="12" t="str"/>
    </x:row>
    <x:row r="983">
      <x:c r="A983" s="9" t="str">
        <x:v>pc-302</x:v>
      </x:c>
      <x:c r="B983" s="9" t="str">
        <x:v>the-sacred-pools</x:v>
      </x:c>
      <x:c r="C983" s="9" t="str">
        <x:v>PC</x:v>
      </x:c>
      <x:c r="D983" s="9" t="str">
        <x:v>The Sacred Pools</x:v>
      </x:c>
      <x:c r="E983" s="9" t="str"/>
      <x:c r="F983" s="9" t="str">
        <x:v>Sacred Pools Productions (verify)</x:v>
      </x:c>
      <x:c r="G983" s="9" t="str">
        <x:v>Panasonic Interactive Media (verify)</x:v>
      </x:c>
      <x:c r="H983" s="9" t="n">
        <x:v>1997</x:v>
      </x:c>
      <x:c r="I983" s="9" t="str">
        <x:v>Yes</x:v>
      </x:c>
      <x:c r="J983" s="9" t="str">
        <x:v>No</x:v>
      </x:c>
      <x:c r="K983" s="9" t="str">
        <x:v>Yes</x:v>
      </x:c>
      <x:c r="L983" s="9" t="str">
        <x:v>No</x:v>
      </x:c>
      <x:c r="M983" s="9" t="str">
        <x:v>Interactive movie</x:v>
      </x:c>
      <x:c r="N983" s="9" t="str">
        <x:v>Live-action</x:v>
      </x:c>
      <x:c r="O983" s="9" t="n">
        <x:v>8</x:v>
      </x:c>
      <x:c r="P983" s="9" t="str">
        <x:v>Interactive movie</x:v>
      </x:c>
      <x:c r="Q983" s="9" t="str">
        <x:v>Released</x:v>
      </x:c>
      <x:c r="R983" s="9" t="str">
        <x:v>Original production</x:v>
      </x:c>
      <x:c r="S983" s="9"/>
      <x:c r="T983" s="9" t="str">
        <x:v>Filmed cast (names verify)</x:v>
      </x:c>
      <x:c r="U983" s="9" t="n">
        <x:v>2</x:v>
      </x:c>
      <x:c r="V983" s="9" t="str">
        <x:v>Yes</x:v>
      </x:c>
      <x:c r="W983" s="9" t="str">
        <x:v>Windows 95, Pentium, 16 MB RAM, 4x CD-ROM (verify)</x:v>
      </x:c>
      <x:c r="X983" s="9" t="str">
        <x:v>Low</x:v>
      </x:c>
      <x:c r="Y983" s="9" t="str"/>
      <x:c r="Z983" s="9" t="str">
        <x:v>2–3 hr</x:v>
      </x:c>
      <x:c r="AA983" s="9" t="str">
        <x:v>A barbarian-fantasy interactive movie with a reputation as one of the worst FMV games of the late 90s.</x:v>
      </x:c>
      <x:c r="AB983" s="9" t="str">
        <x:v>None known</x:v>
      </x:c>
      <x:c r="AC983" s="9" t="str">
        <x:v>Filmed scenes with branching choices (verify)</x:v>
      </x:c>
      <x:c r="AD983" s="9" t="str">
        <x:v>Easy</x:v>
      </x:c>
      <x:c r="AE983" s="9" t="str">
        <x:v>Several</x:v>
      </x:c>
      <x:c r="AF983" s="9" t="str">
        <x:v>Facts from memory; verify developer, publisher and footage.</x:v>
      </x:c>
      <x:c r="AG983" s="9" t="str">
        <x:v>Windows CD-ROM</x:v>
      </x:c>
      <x:c r="AH983" s="9" t="str">
        <x:v>No</x:v>
      </x:c>
      <x:c r="AI983" s="9" t="str">
        <x:v>Easy</x:v>
      </x:c>
      <x:c r="AJ983" s="9" t="str">
        <x:v>Original disc in DOSBox or a Windows 9x virtual machine; disc images circulate</x:v>
      </x:c>
      <x:c r="AK983" s="9" t="str">
        <x:v>Add after verification; FMV World lists it as an FMV game.</x:v>
      </x:c>
      <x:c r="AL983" s="10"/>
      <x:c r="AM983" s="10"/>
      <x:c r="AN983" s="10"/>
      <x:c r="AO983" s="9"/>
      <x:c r="AP983" s="11" t="str">
        <x:f>HYPERLINK("https://www.pricecharting.com/search-products?q=The+Sacred+Pools+pc+games&amp;type=prices","PriceCharting")</x:f>
        <x:v>PriceCharting</x:v>
      </x:c>
      <x:c r="AQ983" s="9"/>
      <x:c r="AR983" s="9"/>
      <x:c r="AS983" s="9"/>
      <x:c r="AT983" s="9"/>
      <x:c r="AU983" s="9" t="str">
        <x:v>No market</x:v>
      </x:c>
      <x:c r="AV983" s="9" t="str">
        <x:v>Not sold on Steam or GOG (checked 2026-10-25) and no PriceCharting listing.</x:v>
      </x:c>
      <x:c r="AW983" s="9"/>
      <x:c r="AX983" s="9"/>
      <x:c r="AY983" s="9"/>
      <x:c r="AZ983" s="9"/>
      <x:c r="BA983" s="11" t="str">
        <x:f>HYPERLINK("https://www.mobygames.com/search/?q=The+Sacred+Pools","MobyGames")</x:f>
        <x:v>MobyGames</x:v>
      </x:c>
      <x:c r="BB983" s="9" t="str"/>
      <x:c r="BC983" s="9" t="str"/>
      <x:c r="BD983" s="9"/>
      <x:c r="BE983" s="9"/>
      <x:c r="BF983" s="11" t="str">
        <x:f>HYPERLINK("https://backloggd.com/search/games/The%20Sacred%20Pools/","Backloggd")</x:f>
        <x:v>Backloggd</x:v>
      </x:c>
      <x:c r="BG983" s="9"/>
      <x:c r="BH983" s="9"/>
      <x:c r="BI983" s="12" t="str">
        <x:v>No</x:v>
      </x:c>
      <x:c r="BJ983" s="12" t="str"/>
      <x:c r="BK983" s="12" t="str">
        <x:v>No</x:v>
      </x:c>
      <x:c r="BL983" s="12" t="str"/>
      <x:c r="BM983" s="12" t="str"/>
      <x:c r="BN983" s="12" t="str"/>
      <x:c r="BO983" s="12" t="str"/>
      <x:c r="BP983" s="12" t="str"/>
      <x:c r="BQ983" s="12" t="str"/>
    </x:row>
    <x:row r="984">
      <x:c r="A984" s="9" t="str">
        <x:v>pc-303</x:v>
      </x:c>
      <x:c r="B984" s="9" t="str">
        <x:v>the-sacred-mirror-of-kofun</x:v>
      </x:c>
      <x:c r="C984" s="9" t="str">
        <x:v>PC</x:v>
      </x:c>
      <x:c r="D984" s="9" t="str">
        <x:v>The Sacred Mirror of Kofun</x:v>
      </x:c>
      <x:c r="E984" s="9" t="str"/>
      <x:c r="F984" s="9" t="str">
        <x:v>Prism Multimedia (verify)</x:v>
      </x:c>
      <x:c r="G984" s="9" t="str">
        <x:v>Eclipse Entertainment (verify)</x:v>
      </x:c>
      <x:c r="H984" s="9" t="n">
        <x:v>1996</x:v>
      </x:c>
      <x:c r="I984" s="9" t="str">
        <x:v>Yes</x:v>
      </x:c>
      <x:c r="J984" s="9" t="str">
        <x:v>No</x:v>
      </x:c>
      <x:c r="K984" s="9" t="str">
        <x:v>Yes</x:v>
      </x:c>
      <x:c r="L984" s="9" t="str">
        <x:v>No</x:v>
      </x:c>
      <x:c r="M984" s="9" t="str">
        <x:v>FMV adventure</x:v>
      </x:c>
      <x:c r="N984" s="9" t="str">
        <x:v>Live-action</x:v>
      </x:c>
      <x:c r="O984" s="9" t="n">
        <x:v>7</x:v>
      </x:c>
      <x:c r="P984" s="9" t="str">
        <x:v>FMV adventure</x:v>
      </x:c>
      <x:c r="Q984" s="9" t="str">
        <x:v>Released</x:v>
      </x:c>
      <x:c r="R984" s="9" t="str">
        <x:v>Original production</x:v>
      </x:c>
      <x:c r="S984" s="9"/>
      <x:c r="T984" s="9" t="str">
        <x:v>Filmed cast (names verify)</x:v>
      </x:c>
      <x:c r="U984" s="9" t="n">
        <x:v>1</x:v>
      </x:c>
      <x:c r="V984" s="9" t="str">
        <x:v>Yes</x:v>
      </x:c>
      <x:c r="W984" s="9" t="str">
        <x:v>Windows 95, Pentium, 16 MB RAM, 4x CD-ROM (verify)</x:v>
      </x:c>
      <x:c r="X984" s="9" t="str">
        <x:v>Low</x:v>
      </x:c>
      <x:c r="Y984" s="9" t="str"/>
      <x:c r="Z984" s="9" t="str">
        <x:v>3–4 hr</x:v>
      </x:c>
      <x:c r="AA984" s="9" t="str">
        <x:v>A Japanese tomb-raiding FMV adventure that reached English-language shelves and little press.</x:v>
      </x:c>
      <x:c r="AB984" s="9" t="str">
        <x:v>None known</x:v>
      </x:c>
      <x:c r="AC984" s="9" t="str">
        <x:v>Filmed scenes over rendered backgrounds (verify)</x:v>
      </x:c>
      <x:c r="AD984" s="9" t="str">
        <x:v>Moderate</x:v>
      </x:c>
      <x:c r="AE984" s="9" t="str">
        <x:v>One</x:v>
      </x:c>
      <x:c r="AF984" s="9" t="str">
        <x:v>Facts from memory; verify everything.</x:v>
      </x:c>
      <x:c r="AG984" s="9" t="str">
        <x:v>Windows CD-ROM</x:v>
      </x:c>
      <x:c r="AH984" s="9" t="str">
        <x:v>No</x:v>
      </x:c>
      <x:c r="AI984" s="9" t="str">
        <x:v>Easy</x:v>
      </x:c>
      <x:c r="AJ984" s="9" t="str">
        <x:v>Original disc in DOSBox or a Windows 9x virtual machine; disc images circulate</x:v>
      </x:c>
      <x:c r="AK984" s="9" t="str">
        <x:v>Add after verification; FMV World lists it as an FMV game.</x:v>
      </x:c>
      <x:c r="AL984" s="10"/>
      <x:c r="AM984" s="10"/>
      <x:c r="AN984" s="10"/>
      <x:c r="AO984" s="9"/>
      <x:c r="AP984" s="11" t="str">
        <x:f>HYPERLINK("https://www.pricecharting.com/search-products?q=The+Sacred+Mirror+of+Kofun+pc+games&amp;type=prices","PriceCharting")</x:f>
        <x:v>PriceCharting</x:v>
      </x:c>
      <x:c r="AQ984" s="9"/>
      <x:c r="AR984" s="9"/>
      <x:c r="AS984" s="9"/>
      <x:c r="AT984" s="9"/>
      <x:c r="AU984" s="9" t="str">
        <x:v>No market</x:v>
      </x:c>
      <x:c r="AV984" s="9" t="str">
        <x:v>Not sold on Steam or GOG (checked 2026-10-25) and no PriceCharting listing.</x:v>
      </x:c>
      <x:c r="AW984" s="9"/>
      <x:c r="AX984" s="9"/>
      <x:c r="AY984" s="9"/>
      <x:c r="AZ984" s="9"/>
      <x:c r="BA984" s="11" t="str">
        <x:f>HYPERLINK("https://www.mobygames.com/search/?q=The+Sacred+Mirror+of+Kofun","MobyGames")</x:f>
        <x:v>MobyGames</x:v>
      </x:c>
      <x:c r="BB984" s="9" t="str"/>
      <x:c r="BC984" s="9" t="str"/>
      <x:c r="BD984" s="9"/>
      <x:c r="BE984" s="9"/>
      <x:c r="BF984" s="11" t="str">
        <x:f>HYPERLINK("https://backloggd.com/search/games/The%20Sacred%20Mirror%20of%20Kofun/","Backloggd")</x:f>
        <x:v>Backloggd</x:v>
      </x:c>
      <x:c r="BG984" s="9"/>
      <x:c r="BH984" s="9"/>
      <x:c r="BI984" s="12" t="str">
        <x:v>No</x:v>
      </x:c>
      <x:c r="BJ984" s="12" t="str"/>
      <x:c r="BK984" s="12" t="str">
        <x:v>No</x:v>
      </x:c>
      <x:c r="BL984" s="12" t="str"/>
      <x:c r="BM984" s="12" t="str"/>
      <x:c r="BN984" s="12" t="str"/>
      <x:c r="BO984" s="12" t="str"/>
      <x:c r="BP984" s="12" t="str"/>
      <x:c r="BQ984" s="12" t="str"/>
    </x:row>
    <x:row r="985">
      <x:c r="A985" s="9" t="str">
        <x:v>pc-304</x:v>
      </x:c>
      <x:c r="B985" s="9" t="str">
        <x:v>dont-quit-your-day-job</x:v>
      </x:c>
      <x:c r="C985" s="9" t="str">
        <x:v>PC</x:v>
      </x:c>
      <x:c r="D985" s="9" t="str">
        <x:v>The Improv Presents: Don't Quit Your Day Job</x:v>
      </x:c>
      <x:c r="E985" s="9" t="str"/>
      <x:c r="F985" s="9" t="str">
        <x:v>Byron Preiss Multimedia (verify)</x:v>
      </x:c>
      <x:c r="G985" s="9" t="str">
        <x:v>Simon &amp; Schuster Interactive (verify)</x:v>
      </x:c>
      <x:c r="H985" s="9" t="n">
        <x:v>1996</x:v>
      </x:c>
      <x:c r="I985" s="9" t="str">
        <x:v>Yes</x:v>
      </x:c>
      <x:c r="J985" s="9" t="str">
        <x:v>No</x:v>
      </x:c>
      <x:c r="K985" s="9" t="str">
        <x:v>Yes</x:v>
      </x:c>
      <x:c r="L985" s="9" t="str">
        <x:v>No</x:v>
      </x:c>
      <x:c r="M985" s="9" t="str">
        <x:v>Comedy FMV adventure</x:v>
      </x:c>
      <x:c r="N985" s="9" t="str">
        <x:v>Live-action</x:v>
      </x:c>
      <x:c r="O985" s="9" t="n">
        <x:v>8</x:v>
      </x:c>
      <x:c r="P985" s="9" t="str">
        <x:v>Interactive movie</x:v>
      </x:c>
      <x:c r="Q985" s="9" t="str">
        <x:v>Released</x:v>
      </x:c>
      <x:c r="R985" s="9" t="str">
        <x:v>Original production</x:v>
      </x:c>
      <x:c r="S985" s="9"/>
      <x:c r="T985" s="9" t="str">
        <x:v>Stand-up comedians of The Improv (names verify)</x:v>
      </x:c>
      <x:c r="U985" s="9" t="n">
        <x:v>1</x:v>
      </x:c>
      <x:c r="V985" s="9" t="str">
        <x:v>Yes</x:v>
      </x:c>
      <x:c r="W985" s="9" t="str">
        <x:v>Windows 3.1, 486, 8 MB RAM, 2x CD-ROM (verify)</x:v>
      </x:c>
      <x:c r="X985" s="9" t="str">
        <x:v>Low</x:v>
      </x:c>
      <x:c r="Y985" s="9" t="str"/>
      <x:c r="Z985" s="9" t="str">
        <x:v>2–3 hr</x:v>
      </x:c>
      <x:c r="AA985" s="9" t="str">
        <x:v>Work your way from the Improv's bar to its stage through filmed stand-up comics and hecklers.</x:v>
      </x:c>
      <x:c r="AB985" s="9" t="str">
        <x:v>None known</x:v>
      </x:c>
      <x:c r="AC985" s="9" t="str">
        <x:v>Filmed club scenes and comedy sets</x:v>
      </x:c>
      <x:c r="AD985" s="9" t="str">
        <x:v>Easy</x:v>
      </x:c>
      <x:c r="AE985" s="9" t="str">
        <x:v>One</x:v>
      </x:c>
      <x:c r="AF985" s="9" t="str">
        <x:v>Licensed from the Improv comedy clubs. Facts verify.</x:v>
      </x:c>
      <x:c r="AG985" s="9" t="str">
        <x:v>Windows 3.x CD-ROM</x:v>
      </x:c>
      <x:c r="AH985" s="9" t="str">
        <x:v>No</x:v>
      </x:c>
      <x:c r="AI985" s="9" t="str">
        <x:v>Easy</x:v>
      </x:c>
      <x:c r="AJ985" s="9" t="str">
        <x:v>Original disc in DOSBox or a Windows 9x virtual machine; disc images circulate</x:v>
      </x:c>
      <x:c r="AK985" s="9"/>
      <x:c r="AL985" s="10"/>
      <x:c r="AM985" s="10"/>
      <x:c r="AN985" s="10"/>
      <x:c r="AO985" s="9"/>
      <x:c r="AP985" s="11" t="str">
        <x:f>HYPERLINK("https://www.pricecharting.com/search-products?q=The+Improv+Presents%3A+Don%27t+Quit+Your+Day+Job+pc+games&amp;type=prices","PriceCharting")</x:f>
        <x:v>PriceCharting</x:v>
      </x:c>
      <x:c r="AQ985" s="9"/>
      <x:c r="AR985" s="9"/>
      <x:c r="AS985" s="9"/>
      <x:c r="AT985" s="9"/>
      <x:c r="AU985" s="9" t="str">
        <x:v>No market</x:v>
      </x:c>
      <x:c r="AV985" s="9" t="str">
        <x:v>Not sold on Steam or GOG (checked 2026-10-25) and no PriceCharting listing.</x:v>
      </x:c>
      <x:c r="AW985" s="9"/>
      <x:c r="AX985" s="9"/>
      <x:c r="AY985" s="9"/>
      <x:c r="AZ985" s="9"/>
      <x:c r="BA985" s="11" t="str">
        <x:f>HYPERLINK("https://www.mobygames.com/game/3201/the-improv-presents-dont-quit-your-day-job/","MobyGames")</x:f>
        <x:v>MobyGames</x:v>
      </x:c>
      <x:c r="BB985" s="9" t="str"/>
      <x:c r="BC985" s="9" t="str"/>
      <x:c r="BD985" s="9"/>
      <x:c r="BE985" s="9"/>
      <x:c r="BF985" s="11" t="str">
        <x:f>HYPERLINK("https://backloggd.com/search/games/The%20Improv%20Presents%3A%20Don%27t%20Quit%20Your%20Day%20Job/","Backloggd")</x:f>
        <x:v>Backloggd</x:v>
      </x:c>
      <x:c r="BG985" s="9"/>
      <x:c r="BH985" s="9"/>
      <x:c r="BI985" s="12" t="str">
        <x:v>No</x:v>
      </x:c>
      <x:c r="BJ985" s="12" t="str"/>
      <x:c r="BK985" s="12" t="str">
        <x:v>No</x:v>
      </x:c>
      <x:c r="BL985" s="12" t="str"/>
      <x:c r="BM985" s="12" t="str"/>
      <x:c r="BN985" s="12" t="str"/>
      <x:c r="BO985" s="12" t="str"/>
      <x:c r="BP985" s="12" t="str"/>
      <x:c r="BQ985" s="12" t="str"/>
    </x:row>
    <x:row r="986">
      <x:c r="A986" s="9" t="str">
        <x:v>pc-305</x:v>
      </x:c>
      <x:c r="B986" s="9" t="str">
        <x:v>foul-play-mystery-at-awkward-manor</x:v>
      </x:c>
      <x:c r="C986" s="9" t="str">
        <x:v>PC</x:v>
      </x:c>
      <x:c r="D986" s="9" t="str">
        <x:v>Foul Play: Mystery at Awkward Manor</x:v>
      </x:c>
      <x:c r="E986" s="9" t="str"/>
      <x:c r="F986" s="9" t="str">
        <x:v>Imagination Pilots (verify)</x:v>
      </x:c>
      <x:c r="G986" s="9" t="str">
        <x:v>Compton's NewMedia (verify)</x:v>
      </x:c>
      <x:c r="H986" s="9" t="n">
        <x:v>1995</x:v>
      </x:c>
      <x:c r="I986" s="9" t="str">
        <x:v>Yes</x:v>
      </x:c>
      <x:c r="J986" s="9" t="str">
        <x:v>No</x:v>
      </x:c>
      <x:c r="K986" s="9" t="str">
        <x:v>Yes</x:v>
      </x:c>
      <x:c r="L986" s="9" t="str">
        <x:v>No</x:v>
      </x:c>
      <x:c r="M986" s="9" t="str">
        <x:v>Comedy murder mystery</x:v>
      </x:c>
      <x:c r="N986" s="9" t="str">
        <x:v>Live-action</x:v>
      </x:c>
      <x:c r="O986" s="9" t="n">
        <x:v>7</x:v>
      </x:c>
      <x:c r="P986" s="9" t="str">
        <x:v>Interactive movie</x:v>
      </x:c>
      <x:c r="Q986" s="9" t="str">
        <x:v>Released</x:v>
      </x:c>
      <x:c r="R986" s="9" t="str">
        <x:v>Original production</x:v>
      </x:c>
      <x:c r="S986" s="9"/>
      <x:c r="T986" s="9" t="str">
        <x:v>Filmed comic cast (names verify)</x:v>
      </x:c>
      <x:c r="U986" s="9" t="n">
        <x:v>1</x:v>
      </x:c>
      <x:c r="V986" s="9" t="str">
        <x:v>Yes</x:v>
      </x:c>
      <x:c r="W986" s="9" t="str">
        <x:v>Windows 3.1, 486, 8 MB RAM, 2x CD-ROM (verify)</x:v>
      </x:c>
      <x:c r="X986" s="9" t="str">
        <x:v>Low</x:v>
      </x:c>
      <x:c r="Y986" s="9" t="str"/>
      <x:c r="Z986" s="9" t="str">
        <x:v>2–3 hr</x:v>
      </x:c>
      <x:c r="AA986" s="9" t="str">
        <x:v>A send-up of country-house whodunits played in filmed scenes; little remembered, which is why it is here.</x:v>
      </x:c>
      <x:c r="AB986" s="9" t="str">
        <x:v>None known</x:v>
      </x:c>
      <x:c r="AC986" s="9" t="str">
        <x:v>Filmed scenes and interrogations (verify)</x:v>
      </x:c>
      <x:c r="AD986" s="9" t="str">
        <x:v>Easy</x:v>
      </x:c>
      <x:c r="AE986" s="9" t="str">
        <x:v>Several</x:v>
      </x:c>
      <x:c r="AF986" s="9" t="str">
        <x:v>Facts verify; MobyGames has the listing.</x:v>
      </x:c>
      <x:c r="AG986" s="9" t="str">
        <x:v>Windows 3.x CD-ROM</x:v>
      </x:c>
      <x:c r="AH986" s="9" t="str">
        <x:v>No</x:v>
      </x:c>
      <x:c r="AI986" s="9" t="str">
        <x:v>Easy</x:v>
      </x:c>
      <x:c r="AJ986" s="9" t="str">
        <x:v>Original disc in DOSBox or a Windows 9x virtual machine; disc images circulate</x:v>
      </x:c>
      <x:c r="AK986" s="9"/>
      <x:c r="AL986" s="10"/>
      <x:c r="AM986" s="10"/>
      <x:c r="AN986" s="10"/>
      <x:c r="AO986" s="9"/>
      <x:c r="AP986" s="11" t="str">
        <x:f>HYPERLINK("https://www.pricecharting.com/search-products?q=Foul+Play%3A+Mystery+at+Awkward+Manor+pc+games&amp;type=prices","PriceCharting")</x:f>
        <x:v>PriceCharting</x:v>
      </x:c>
      <x:c r="AQ986" s="9"/>
      <x:c r="AR986" s="9"/>
      <x:c r="AS986" s="9"/>
      <x:c r="AT986" s="9"/>
      <x:c r="AU986" s="9" t="str">
        <x:v>No market</x:v>
      </x:c>
      <x:c r="AV986" s="9" t="str">
        <x:v>Not sold on Steam or GOG (checked 2026-10-25) and no PriceCharting listing.</x:v>
      </x:c>
      <x:c r="AW986" s="9"/>
      <x:c r="AX986" s="9"/>
      <x:c r="AY986" s="9"/>
      <x:c r="AZ986" s="9"/>
      <x:c r="BA986" s="11" t="str">
        <x:f>HYPERLINK("https://www.mobygames.com/game/42142/foul-play-mystery-at-awkward-manor/","MobyGames")</x:f>
        <x:v>MobyGames</x:v>
      </x:c>
      <x:c r="BB986" s="9" t="str">
        <x:v>71%</x:v>
      </x:c>
      <x:c r="BC986" s="9" t="str">
        <x:v>GameRankings, 5 reviews</x:v>
      </x:c>
      <x:c r="BD986" s="9" t="str">
        <x:f>HYPERLINK("https://web.archive.org/web/20191209011217id_/https://www.gamerankings.com/pc/730055-foul-play/","Source")</x:f>
        <x:v>Source</x:v>
      </x:c>
      <x:c r="BE986" s="9"/>
      <x:c r="BF986" s="11" t="str">
        <x:f>HYPERLINK("https://backloggd.com/search/games/Foul%20Play%3A%20Mystery%20at%20Awkward%20Manor/","Backloggd")</x:f>
        <x:v>Backloggd</x:v>
      </x:c>
      <x:c r="BG986" s="9"/>
      <x:c r="BH986" s="9"/>
      <x:c r="BI986" s="12" t="str">
        <x:v>No</x:v>
      </x:c>
      <x:c r="BJ986" s="12" t="str"/>
      <x:c r="BK986" s="12" t="str">
        <x:v>No</x:v>
      </x:c>
      <x:c r="BL986" s="12" t="str"/>
      <x:c r="BM986" s="12" t="str"/>
      <x:c r="BN986" s="12" t="str"/>
      <x:c r="BO986" s="12" t="str"/>
      <x:c r="BP986" s="12" t="str"/>
      <x:c r="BQ986" s="12" t="str"/>
    </x:row>
    <x:row r="987">
      <x:c r="A987" s="9" t="str">
        <x:v>pc-306</x:v>
      </x:c>
      <x:c r="B987" s="9" t="str">
        <x:v>who-killed-taylor-french-the-case-of-the-undressed-reporter</x:v>
      </x:c>
      <x:c r="C987" s="9" t="str">
        <x:v>PC</x:v>
      </x:c>
      <x:c r="D987" s="9" t="str">
        <x:v>Who Killed Taylor French? The Case of the Undressed Reporter</x:v>
      </x:c>
      <x:c r="E987" s="9" t="str"/>
      <x:c r="F987" s="9" t="str">
        <x:v>Creative Multimedia</x:v>
      </x:c>
      <x:c r="G987" s="9" t="str">
        <x:v>Creative Multimedia</x:v>
      </x:c>
      <x:c r="H987" s="9" t="n">
        <x:v>1994</x:v>
      </x:c>
      <x:c r="I987" s="9" t="str">
        <x:v>Yes</x:v>
      </x:c>
      <x:c r="J987" s="9" t="str">
        <x:v>No</x:v>
      </x:c>
      <x:c r="K987" s="9" t="str">
        <x:v>Yes</x:v>
      </x:c>
      <x:c r="L987" s="9" t="str">
        <x:v>No</x:v>
      </x:c>
      <x:c r="M987" s="9" t="str">
        <x:v>Murder mystery</x:v>
      </x:c>
      <x:c r="N987" s="9" t="str">
        <x:v>Digitized video interviews</x:v>
      </x:c>
      <x:c r="O987" s="9" t="n">
        <x:v>5</x:v>
      </x:c>
      <x:c r="P987" s="9" t="str">
        <x:v>Interactive movie</x:v>
      </x:c>
      <x:c r="Q987" s="9" t="str">
        <x:v>Released</x:v>
      </x:c>
      <x:c r="R987" s="9" t="str">
        <x:v>Original production (Virtual Murder series)</x:v>
      </x:c>
      <x:c r="S987" s="9"/>
      <x:c r="T987" s="9" t="str">
        <x:v>Filmed suspects and witnesses (names verify)</x:v>
      </x:c>
      <x:c r="U987" s="9" t="n">
        <x:v>1</x:v>
      </x:c>
      <x:c r="V987" s="9" t="str">
        <x:v>Yes</x:v>
      </x:c>
      <x:c r="W987" s="9" t="str">
        <x:v>Windows 3.1, 486, 8 MB RAM, 2x CD-ROM (verify)</x:v>
      </x:c>
      <x:c r="X987" s="9" t="str">
        <x:v>Low</x:v>
      </x:c>
      <x:c r="Y987" s="9" t="str"/>
      <x:c r="Z987" s="9" t="str">
        <x:v>2–3 hr</x:v>
      </x:c>
      <x:c r="AA987" s="9" t="str">
        <x:v>The fourth Virtual Murder case: interview filmed suspects and decide who killed a TV reporter within the time limit.</x:v>
      </x:c>
      <x:c r="AB987" s="9" t="str">
        <x:v>None known</x:v>
      </x:c>
      <x:c r="AC987" s="9" t="str">
        <x:v>Filmed interview clips and evidence stills in the series format</x:v>
      </x:c>
      <x:c r="AD987" s="9" t="str">
        <x:v>Moderate; timed investigation</x:v>
      </x:c>
      <x:c r="AE987" s="9" t="str">
        <x:v>Correct or wrong arrest</x:v>
      </x:c>
      <x:c r="AF987" s="9" t="str">
        <x:v>Sibling of Who Killed Sam Rupert?, The Magic Death and Who Killed Brett Penance?, all indexed; the Windows 3.x disc was missing while the Mac record (mac-77) was in.</x:v>
      </x:c>
      <x:c r="AG987" s="9" t="str">
        <x:v>Windows 3.x and Macintosh</x:v>
      </x:c>
      <x:c r="AH987" s="9" t="str">
        <x:v>No</x:v>
      </x:c>
      <x:c r="AI987" s="9" t="str">
        <x:v>Easy</x:v>
      </x:c>
      <x:c r="AJ987" s="9" t="str">
        <x:v>Original disc in DOSBox or a Windows 9x virtual machine; disc images circulate</x:v>
      </x:c>
      <x:c r="AK987" s="9"/>
      <x:c r="AL987" s="10"/>
      <x:c r="AM987" s="10"/>
      <x:c r="AN987" s="10"/>
      <x:c r="AO987" s="9"/>
      <x:c r="AP987" s="11" t="str">
        <x:f>HYPERLINK("https://www.pricecharting.com/search-products?q=Who+Killed+Taylor+French%3F+The+Case+of+the+Undressed+Reporter+pc+games&amp;type=prices","PriceCharting")</x:f>
        <x:v>PriceCharting</x:v>
      </x:c>
      <x:c r="AQ987" s="9"/>
      <x:c r="AR987" s="9"/>
      <x:c r="AS987" s="9"/>
      <x:c r="AT987" s="9"/>
      <x:c r="AU987" s="9" t="str">
        <x:v>No market</x:v>
      </x:c>
      <x:c r="AV987" s="9" t="str">
        <x:v>Not sold on Steam or GOG (checked 2026-10-25) and no PriceCharting listing.</x:v>
      </x:c>
      <x:c r="AW987" s="9"/>
      <x:c r="AX987" s="9"/>
      <x:c r="AY987" s="9" t="str">
        <x:v>33%</x:v>
      </x:c>
      <x:c r="AZ987" s="9" t="str">
        <x:v>3.0</x:v>
      </x:c>
      <x:c r="BA987" s="11" t="str">
        <x:f>HYPERLINK("https://www.mobygames.com/game/windows/who-killed-taylor-french-the-case-of-the-undressed-reporter","MobyGames")</x:f>
        <x:v>MobyGames</x:v>
      </x:c>
      <x:c r="BB987" s="9" t="str"/>
      <x:c r="BC987" s="9" t="str"/>
      <x:c r="BD987" s="9"/>
      <x:c r="BE987" s="9"/>
      <x:c r="BF987" s="11" t="str">
        <x:f>HYPERLINK("https://backloggd.com/search/games/Who%20Killed%20Taylor%20French%3F%20The%20Case%20of%20the%20Undressed%20Reporter/","Backloggd")</x:f>
        <x:v>Backloggd</x:v>
      </x:c>
      <x:c r="BG987" s="9"/>
      <x:c r="BH987" s="9"/>
      <x:c r="BI987" s="12" t="str">
        <x:v>No</x:v>
      </x:c>
      <x:c r="BJ987" s="12" t="str"/>
      <x:c r="BK987" s="12" t="str">
        <x:v>No</x:v>
      </x:c>
      <x:c r="BL987" s="12" t="str"/>
      <x:c r="BM987" s="12" t="str"/>
      <x:c r="BN987" s="12" t="str"/>
      <x:c r="BO987" s="12" t="str"/>
      <x:c r="BP987" s="12" t="str"/>
      <x:c r="BQ987" s="12" t="str"/>
    </x:row>
    <x:row r="988">
      <x:c r="A988" s="9" t="str">
        <x:v>pc-307</x:v>
      </x:c>
      <x:c r="B988" s="9" t="str">
        <x:v>maabus</x:v>
      </x:c>
      <x:c r="C988" s="9" t="str">
        <x:v>PC</x:v>
      </x:c>
      <x:c r="D988" s="9" t="str">
        <x:v>Maabus</x:v>
      </x:c>
      <x:c r="E988" s="9" t="str"/>
      <x:c r="F988" s="9" t="str">
        <x:v>Microforum International</x:v>
      </x:c>
      <x:c r="G988" s="9" t="str">
        <x:v>Microforum International</x:v>
      </x:c>
      <x:c r="H988" s="9" t="n">
        <x:v>1995</x:v>
      </x:c>
      <x:c r="I988" s="9" t="str">
        <x:v>Yes</x:v>
      </x:c>
      <x:c r="J988" s="9" t="str">
        <x:v>No</x:v>
      </x:c>
      <x:c r="K988" s="9" t="str">
        <x:v>Yes</x:v>
      </x:c>
      <x:c r="L988" s="9" t="str">
        <x:v>No</x:v>
      </x:c>
      <x:c r="M988" s="9" t="str">
        <x:v>Science-fiction action adventure</x:v>
      </x:c>
      <x:c r="N988" s="9" t="str">
        <x:v>Rendered video</x:v>
      </x:c>
      <x:c r="O988" s="9" t="n">
        <x:v>7</x:v>
      </x:c>
      <x:c r="P988" s="9" t="str">
        <x:v>Pre-rendered CG</x:v>
      </x:c>
      <x:c r="Q988" s="9" t="str">
        <x:v>Released</x:v>
      </x:c>
      <x:c r="R988" s="9" t="str">
        <x:v>Original production</x:v>
      </x:c>
      <x:c r="S988" s="9"/>
      <x:c r="T988" s="9" t="str">
        <x:v>None (rendered)</x:v>
      </x:c>
      <x:c r="U988" s="9" t="n">
        <x:v>3</x:v>
      </x:c>
      <x:c r="V988" s="9" t="str">
        <x:v>Yes</x:v>
      </x:c>
      <x:c r="W988" s="9" t="str">
        <x:v>Windows 3.1, 486, 8 MB RAM, 2x CD-ROM (verify)</x:v>
      </x:c>
      <x:c r="X988" s="9" t="str">
        <x:v>Low</x:v>
      </x:c>
      <x:c r="Y988" s="9" t="str"/>
      <x:c r="Z988" s="9" t="str">
        <x:v>4–6 hr</x:v>
      </x:c>
      <x:c r="AA988" s="9" t="str">
        <x:v>Microforum's three-disc navigable-video adventure that sold 100,000 copies while Next Generation gave it one star.</x:v>
      </x:c>
      <x:c r="AB988" s="9" t="str">
        <x:v>None known</x:v>
      </x:c>
      <x:c r="AC988" s="9" t="str">
        <x:v>Navigable rendered video gives the feel of moving through 3D space; creatures appear along the path</x:v>
      </x:c>
      <x:c r="AD988" s="9" t="str">
        <x:v>Moderate; time limit</x:v>
      </x:c>
      <x:c r="AE988" s="9" t="str">
        <x:v>One</x:v>
      </x:c>
      <x:c r="AF988" s="9" t="str">
        <x:v>Reviews ranged from Entertainment Weekly's A- to PC Joker's 32%: Computer Game Review 65, PC Gamer 55%, Next Generation 1/5. 25,000 man-hours; promoted at COMDEX 1994 with a trailer claiming 9,800 hours of rendering.</x:v>
      </x:c>
      <x:c r="AG988" s="9" t="str">
        <x:v>3-CD DOS/Windows 3.1</x:v>
      </x:c>
      <x:c r="AH988" s="9" t="str">
        <x:v>No</x:v>
      </x:c>
      <x:c r="AI988" s="9" t="str">
        <x:v>Easy</x:v>
      </x:c>
      <x:c r="AJ988" s="9" t="str">
        <x:v>Original disc in DOSBox or a Windows 9x virtual machine; disc images circulate</x:v>
      </x:c>
      <x:c r="AK988" s="9"/>
      <x:c r="AL988" s="10"/>
      <x:c r="AM988" s="10"/>
      <x:c r="AN988" s="10"/>
      <x:c r="AO988" s="9"/>
      <x:c r="AP988" s="11" t="str">
        <x:f>HYPERLINK("https://www.pricecharting.com/search-products?q=Maabus+pc+games&amp;type=prices","PriceCharting")</x:f>
        <x:v>PriceCharting</x:v>
      </x:c>
      <x:c r="AQ988" s="9"/>
      <x:c r="AR988" s="9"/>
      <x:c r="AS988" s="9"/>
      <x:c r="AT988" s="9"/>
      <x:c r="AU988" s="9" t="str">
        <x:v>No market</x:v>
      </x:c>
      <x:c r="AV988" s="9" t="str">
        <x:v>Not sold on Steam or GOG (checked 2026-10-25) and no PriceCharting listing.</x:v>
      </x:c>
      <x:c r="AW988" s="9"/>
      <x:c r="AX988" s="9"/>
      <x:c r="AY988" s="9"/>
      <x:c r="AZ988" s="9"/>
      <x:c r="BA988" s="11" t="str">
        <x:f>HYPERLINK("https://www.mobygames.com/search/?q=Maabus","MobyGames")</x:f>
        <x:v>MobyGames</x:v>
      </x:c>
      <x:c r="BB988" s="9" t="str">
        <x:v>55%</x:v>
      </x:c>
      <x:c r="BC988" s="9" t="str">
        <x:v>PC Gamer (US), 1 review</x:v>
      </x:c>
      <x:c r="BD988" s="9" t="str">
        <x:f>HYPERLINK("https://en.wikipedia.org/wiki/Maabus","Source")</x:f>
        <x:v>Source</x:v>
      </x:c>
      <x:c r="BE988" s="11" t="str">
        <x:f>HYPERLINK("https://en.wikipedia.org/wiki/Maabus","Wikipedia")</x:f>
        <x:v>Wikipedia</x:v>
      </x:c>
      <x:c r="BF988" s="11" t="str">
        <x:f>HYPERLINK("https://backloggd.com/search/games/Maabus/","Backloggd")</x:f>
        <x:v>Backloggd</x:v>
      </x:c>
      <x:c r="BG988" s="9"/>
      <x:c r="BH988" s="9"/>
      <x:c r="BI988" s="12" t="str">
        <x:v>No</x:v>
      </x:c>
      <x:c r="BJ988" s="12" t="str"/>
      <x:c r="BK988" s="12" t="str">
        <x:v>No</x:v>
      </x:c>
      <x:c r="BL988" s="12" t="str"/>
      <x:c r="BM988" s="12" t="str"/>
      <x:c r="BN988" s="12" t="str"/>
      <x:c r="BO988" s="12" t="str"/>
      <x:c r="BP988" s="12" t="str"/>
      <x:c r="BQ988" s="12" t="str"/>
    </x:row>
    <x:row r="989">
      <x:c r="A989" s="9" t="str">
        <x:v>pc-308</x:v>
      </x:c>
      <x:c r="B989" s="9" t="str">
        <x:v>the-museum-of-anything-goes</x:v>
      </x:c>
      <x:c r="C989" s="9" t="str">
        <x:v>PC</x:v>
      </x:c>
      <x:c r="D989" s="9" t="str">
        <x:v>The Museum of Anything Goes</x:v>
      </x:c>
      <x:c r="E989" s="9" t="str"/>
      <x:c r="F989" s="9" t="str">
        <x:v>Wayzata Technology (two authors)</x:v>
      </x:c>
      <x:c r="G989" s="9" t="str">
        <x:v>Wayzata Technology</x:v>
      </x:c>
      <x:c r="H989" s="9" t="n">
        <x:v>1995</x:v>
      </x:c>
      <x:c r="I989" s="9" t="str">
        <x:v>Yes</x:v>
      </x:c>
      <x:c r="J989" s="9" t="str">
        <x:v>No</x:v>
      </x:c>
      <x:c r="K989" s="9" t="str">
        <x:v>Yes</x:v>
      </x:c>
      <x:c r="L989" s="9" t="str">
        <x:v>No</x:v>
      </x:c>
      <x:c r="M989" s="9" t="str">
        <x:v>Surreal exploration</x:v>
      </x:c>
      <x:c r="N989" s="9" t="str">
        <x:v>Live-action and animation</x:v>
      </x:c>
      <x:c r="O989" s="9" t="n">
        <x:v>6</x:v>
      </x:c>
      <x:c r="P989" s="9" t="str">
        <x:v>FMV adventure</x:v>
      </x:c>
      <x:c r="Q989" s="9" t="str">
        <x:v>Released</x:v>
      </x:c>
      <x:c r="R989" s="9" t="str">
        <x:v>Original production</x:v>
      </x:c>
      <x:c r="S989" s="9" t="str">
        <x:v>Macintosh</x:v>
      </x:c>
      <x:c r="T989" s="9" t="str">
        <x:v>The two authors and friends (verify)</x:v>
      </x:c>
      <x:c r="U989" s="9" t="n">
        <x:v>1</x:v>
      </x:c>
      <x:c r="V989" s="9" t="str">
        <x:v>Yes</x:v>
      </x:c>
      <x:c r="W989" s="9" t="str">
        <x:v>Windows 3.1, 486, 8 MB RAM, 2x CD-ROM (verify)</x:v>
      </x:c>
      <x:c r="X989" s="9" t="str">
        <x:v>Low</x:v>
      </x:c>
      <x:c r="Y989" s="9" t="str"/>
      <x:c r="Z989" s="9" t="str">
        <x:v>2–3 hr</x:v>
      </x:c>
      <x:c r="AA989" s="9" t="str">
        <x:v>A museum of filmed oddities and minigames made by two people who, per the credits, had 'no real contact with the outside world for 2 years'; a cult find for weird-CD-ROM collectors.</x:v>
      </x:c>
      <x:c r="AB989" s="9" t="str">
        <x:v>None known</x:v>
      </x:c>
      <x:c r="AC989" s="9" t="str">
        <x:v>Filmed clips, animation and music inside an explorable museum (verify how much is video)</x:v>
      </x:c>
      <x:c r="AD989" s="9" t="str">
        <x:v>Easy</x:v>
      </x:c>
      <x:c r="AE989" s="9" t="str">
        <x:v>None</x:v>
      </x:c>
      <x:c r="AF989" s="9" t="str">
        <x:v>MobyGames players 3.3/5 from 5 ratings; no critic reviews.</x:v>
      </x:c>
      <x:c r="AG989" s="9" t="str">
        <x:v>Windows 3.x and Macintosh</x:v>
      </x:c>
      <x:c r="AH989" s="9" t="str">
        <x:v>No</x:v>
      </x:c>
      <x:c r="AI989" s="9" t="str">
        <x:v>Easy</x:v>
      </x:c>
      <x:c r="AJ989" s="9" t="str">
        <x:v>Original disc in DOSBox or a Windows 9x virtual machine; disc images circulate</x:v>
      </x:c>
      <x:c r="AK989" s="9"/>
      <x:c r="AL989" s="10"/>
      <x:c r="AM989" s="10"/>
      <x:c r="AN989" s="10"/>
      <x:c r="AO989" s="9"/>
      <x:c r="AP989" s="11" t="str">
        <x:f>HYPERLINK("https://www.pricecharting.com/search-products?q=The+Museum+of+Anything+Goes+pc+games&amp;type=prices","PriceCharting")</x:f>
        <x:v>PriceCharting</x:v>
      </x:c>
      <x:c r="AQ989" s="9"/>
      <x:c r="AR989" s="9"/>
      <x:c r="AS989" s="9"/>
      <x:c r="AT989" s="9"/>
      <x:c r="AU989" s="9" t="str">
        <x:v>No market</x:v>
      </x:c>
      <x:c r="AV989" s="9" t="str">
        <x:v>Not sold on Steam or GOG (checked 2026-10-25) and no PriceCharting listing.</x:v>
      </x:c>
      <x:c r="AW989" s="9"/>
      <x:c r="AX989" s="9"/>
      <x:c r="AY989" s="9"/>
      <x:c r="AZ989" s="9" t="str">
        <x:v>3.3</x:v>
      </x:c>
      <x:c r="BA989" s="11" t="str">
        <x:f>HYPERLINK("https://www.mobygames.com/game/78322/the-museum-of-anything-goes/","MobyGames")</x:f>
        <x:v>MobyGames</x:v>
      </x:c>
      <x:c r="BB989" s="9" t="str"/>
      <x:c r="BC989" s="9" t="str"/>
      <x:c r="BD989" s="9"/>
      <x:c r="BE989" s="9"/>
      <x:c r="BF989" s="11" t="str">
        <x:f>HYPERLINK("https://backloggd.com/search/games/The%20Museum%20of%20Anything%20Goes/","Backloggd")</x:f>
        <x:v>Backloggd</x:v>
      </x:c>
      <x:c r="BG989" s="9"/>
      <x:c r="BH989" s="9"/>
      <x:c r="BI989" s="12" t="str">
        <x:v>No</x:v>
      </x:c>
      <x:c r="BJ989" s="12" t="str"/>
      <x:c r="BK989" s="12" t="str">
        <x:v>No</x:v>
      </x:c>
      <x:c r="BL989" s="12" t="str"/>
      <x:c r="BM989" s="12" t="str"/>
      <x:c r="BN989" s="12" t="str"/>
      <x:c r="BO989" s="12" t="str"/>
      <x:c r="BP989" s="12" t="str"/>
      <x:c r="BQ989" s="12" t="str"/>
    </x:row>
    <x:row r="990">
      <x:c r="A990" s="9" t="str">
        <x:v>pc-309</x:v>
      </x:c>
      <x:c r="B990" s="9" t="str">
        <x:v>dust-a-tale-of-the-wired-west</x:v>
      </x:c>
      <x:c r="C990" s="9" t="str">
        <x:v>PC</x:v>
      </x:c>
      <x:c r="D990" s="9" t="str">
        <x:v>Dust: A Tale of the Wired West</x:v>
      </x:c>
      <x:c r="E990" s="9" t="str"/>
      <x:c r="F990" s="9" t="str">
        <x:v>CyberFlix</x:v>
      </x:c>
      <x:c r="G990" s="9" t="str">
        <x:v>GTE Entertainment</x:v>
      </x:c>
      <x:c r="H990" s="9" t="n">
        <x:v>1995</x:v>
      </x:c>
      <x:c r="I990" s="9" t="str">
        <x:v>Yes</x:v>
      </x:c>
      <x:c r="J990" s="9" t="str">
        <x:v>No</x:v>
      </x:c>
      <x:c r="K990" s="9" t="str">
        <x:v>Yes</x:v>
      </x:c>
      <x:c r="L990" s="9" t="str">
        <x:v>No</x:v>
      </x:c>
      <x:c r="M990" s="9" t="str">
        <x:v>Western adventure</x:v>
      </x:c>
      <x:c r="N990" s="9" t="str">
        <x:v>Digitized actors</x:v>
      </x:c>
      <x:c r="O990" s="9" t="n">
        <x:v>4</x:v>
      </x:c>
      <x:c r="P990" s="9" t="str">
        <x:v>FMV adventure</x:v>
      </x:c>
      <x:c r="Q990" s="9" t="str">
        <x:v>Released</x:v>
      </x:c>
      <x:c r="R990" s="9" t="str">
        <x:v>Original production</x:v>
      </x:c>
      <x:c r="S990" s="9" t="str">
        <x:v>Macintosh</x:v>
      </x:c>
      <x:c r="T990" s="9" t="str">
        <x:v>Photographed professional actors with lip-synced mouths (names verify)</x:v>
      </x:c>
      <x:c r="U990" s="9" t="n">
        <x:v>1</x:v>
      </x:c>
      <x:c r="V990" s="9" t="str">
        <x:v>Yes</x:v>
      </x:c>
      <x:c r="W990" s="9" t="str">
        <x:v>Windows 3.1, 486, 8 MB RAM, 2x CD-ROM (verify)</x:v>
      </x:c>
      <x:c r="X990" s="9" t="str">
        <x:v>Low</x:v>
      </x:c>
      <x:c r="Y990" s="9" t="str"/>
      <x:c r="Z990" s="9" t="str">
        <x:v>8–10 hr</x:v>
      </x:c>
      <x:c r="AA990" s="9" t="str">
        <x:v>CyberFlix's Western in the Titanic engine: photographed actors with moving mouths, five endings and a 400-page script, loved by critics and bought by almost nobody.</x:v>
      </x:c>
      <x:c r="AB990" s="9" t="str">
        <x:v>None known</x:v>
      </x:c>
      <x:c r="AC990" s="9" t="str">
        <x:v>Photographed actors animated at the mouth, the DreamFactory technique later used in Titanic: Adventure Out of Time</x:v>
      </x:c>
      <x:c r="AD990" s="9" t="str">
        <x:v>Moderate</x:v>
      </x:c>
      <x:c r="AE990" s="9" t="str">
        <x:v>Five, by what you do with the treasure</x:v>
      </x:c>
      <x:c r="AF990" s="9" t="str">
        <x:v>Next Generation 4/5, MacUser 4.5/5; Macworld's Best Multimedia Game of 1995. Sold under 50,000 copies. Buick Riviera returns in Titanic.</x:v>
      </x:c>
      <x:c r="AG990" s="9" t="str">
        <x:v>Windows/Macintosh CD-ROM</x:v>
      </x:c>
      <x:c r="AH990" s="9" t="str">
        <x:v>No</x:v>
      </x:c>
      <x:c r="AI990" s="9" t="str">
        <x:v>Easy</x:v>
      </x:c>
      <x:c r="AJ990" s="9" t="str">
        <x:v>Original disc in DOSBox or a Windows 9x virtual machine; disc images circulate</x:v>
      </x:c>
      <x:c r="AK990" s="9" t="str">
        <x:v>Digitized actors rather than streamed video, in for consistency with Titanic (pc-111).</x:v>
      </x:c>
      <x:c r="AL990" s="10"/>
      <x:c r="AM990" s="10"/>
      <x:c r="AN990" s="10"/>
      <x:c r="AO990" s="9"/>
      <x:c r="AP990" s="11" t="str">
        <x:f>HYPERLINK("https://www.pricecharting.com/search-products?q=Dust%3A+A+Tale+of+the+Wired+West+pc+games&amp;type=prices","PriceCharting")</x:f>
        <x:v>PriceCharting</x:v>
      </x:c>
      <x:c r="AQ990" s="9"/>
      <x:c r="AR990" s="9"/>
      <x:c r="AS990" s="9"/>
      <x:c r="AT990" s="9"/>
      <x:c r="AU990" s="9" t="str">
        <x:v>No market</x:v>
      </x:c>
      <x:c r="AV990" s="9" t="str">
        <x:v>Not sold on Steam or GOG (checked 2026-10-25) and no PriceCharting listing.</x:v>
      </x:c>
      <x:c r="AW990" s="9"/>
      <x:c r="AX990" s="9"/>
      <x:c r="AY990" s="9"/>
      <x:c r="AZ990" s="9"/>
      <x:c r="BA990" s="11" t="str">
        <x:f>HYPERLINK("https://www.mobygames.com/search/?q=Dust%3A+A+Tale+of+the+Wired+West","MobyGames")</x:f>
        <x:v>MobyGames</x:v>
      </x:c>
      <x:c r="BB990" s="9" t="str"/>
      <x:c r="BC990" s="9" t="str"/>
      <x:c r="BD990" s="9"/>
      <x:c r="BE990" s="11" t="str">
        <x:f>HYPERLINK("https://en.wikipedia.org/wiki/Dust:_A_Tale_of_the_Wired_West","Wikipedia")</x:f>
        <x:v>Wikipedia</x:v>
      </x:c>
      <x:c r="BF990" s="11" t="str">
        <x:f>HYPERLINK("https://backloggd.com/search/games/Dust%3A%20A%20Tale%20of%20the%20Wired%20West/","Backloggd")</x:f>
        <x:v>Backloggd</x:v>
      </x:c>
      <x:c r="BG990" s="9"/>
      <x:c r="BH990" s="9"/>
      <x:c r="BI990" s="12" t="str">
        <x:v>No</x:v>
      </x:c>
      <x:c r="BJ990" s="12" t="str"/>
      <x:c r="BK990" s="12" t="str">
        <x:v>No</x:v>
      </x:c>
      <x:c r="BL990" s="12" t="str"/>
      <x:c r="BM990" s="12" t="str"/>
      <x:c r="BN990" s="12" t="str"/>
      <x:c r="BO990" s="12" t="str"/>
      <x:c r="BP990" s="12" t="str"/>
      <x:c r="BQ990" s="12" t="str"/>
    </x:row>
    <x:row r="991">
      <x:c r="A991" s="9" t="str">
        <x:v>pc-310</x:v>
      </x:c>
      <x:c r="B991" s="9" t="str">
        <x:v>jump-raven</x:v>
      </x:c>
      <x:c r="C991" s="9" t="str">
        <x:v>PC</x:v>
      </x:c>
      <x:c r="D991" s="9" t="str">
        <x:v>Jump Raven</x:v>
      </x:c>
      <x:c r="E991" s="9" t="str"/>
      <x:c r="F991" s="9" t="str">
        <x:v>CyberFlix</x:v>
      </x:c>
      <x:c r="G991" s="9" t="str">
        <x:v>Paramount Interactive</x:v>
      </x:c>
      <x:c r="H991" s="9" t="n">
        <x:v>1994</x:v>
      </x:c>
      <x:c r="I991" s="9" t="str">
        <x:v>Yes</x:v>
      </x:c>
      <x:c r="J991" s="9" t="str">
        <x:v>No</x:v>
      </x:c>
      <x:c r="K991" s="9" t="str">
        <x:v>Yes</x:v>
      </x:c>
      <x:c r="L991" s="9" t="str">
        <x:v>No</x:v>
      </x:c>
      <x:c r="M991" s="9" t="str">
        <x:v>Hovercraft combat with filmed co-pilots</x:v>
      </x:c>
      <x:c r="N991" s="9" t="str">
        <x:v>Live-action</x:v>
      </x:c>
      <x:c r="O991" s="9" t="n">
        <x:v>4</x:v>
      </x:c>
      <x:c r="P991" s="9" t="str">
        <x:v>Cutscenes only</x:v>
      </x:c>
      <x:c r="Q991" s="9" t="str">
        <x:v>Released</x:v>
      </x:c>
      <x:c r="R991" s="9" t="str">
        <x:v>Original production</x:v>
      </x:c>
      <x:c r="S991" s="9" t="str">
        <x:v>Macintosh</x:v>
      </x:c>
      <x:c r="T991" s="9" t="str">
        <x:v>Filmed co-pilots who talk back during missions (names verify)</x:v>
      </x:c>
      <x:c r="U991" s="9" t="n">
        <x:v>1</x:v>
      </x:c>
      <x:c r="V991" s="9" t="str">
        <x:v>Yes</x:v>
      </x:c>
      <x:c r="W991" s="9" t="str">
        <x:v>Windows 3.1, 486, 8 MB RAM, 2x CD-ROM (verify)</x:v>
      </x:c>
      <x:c r="X991" s="9" t="str">
        <x:v>Low</x:v>
      </x:c>
      <x:c r="Y991" s="9" t="str"/>
      <x:c r="Z991" s="9" t="str">
        <x:v>3–4 hr</x:v>
      </x:c>
      <x:c r="AA991" s="9" t="str">
        <x:v>CyberFlix's shooter over a flooded New York where a filmed co-pilot (pick one of several) chatters at you in a video window.</x:v>
      </x:c>
      <x:c r="AB991" s="9" t="str">
        <x:v>None known</x:v>
      </x:c>
      <x:c r="AC991" s="9" t="str">
        <x:v>Filmed co-pilot video in the cockpit and filmed briefings (verify)</x:v>
      </x:c>
      <x:c r="AD991" s="9" t="str">
        <x:v>Moderate</x:v>
      </x:c>
      <x:c r="AE991" s="9" t="str">
        <x:v>One</x:v>
      </x:c>
      <x:c r="AF991" s="9" t="str">
        <x:v>One of the first CyberFlix DreamFactory titles with Lunicus (mac-16). Facts verify.</x:v>
      </x:c>
      <x:c r="AG991" s="9" t="str">
        <x:v>Windows/Macintosh CD-ROM</x:v>
      </x:c>
      <x:c r="AH991" s="9" t="str">
        <x:v>No</x:v>
      </x:c>
      <x:c r="AI991" s="9" t="str">
        <x:v>Easy</x:v>
      </x:c>
      <x:c r="AJ991" s="9" t="str">
        <x:v>Original disc in DOSBox or a Windows 9x virtual machine; disc images circulate</x:v>
      </x:c>
      <x:c r="AK991" s="9"/>
      <x:c r="AL991" s="10" t="n">
        <x:v>8.95</x:v>
      </x:c>
      <x:c r="AM991" s="10" t="n">
        <x:v>19.69</x:v>
      </x:c>
      <x:c r="AN991" s="10" t="n">
        <x:v>50</x:v>
      </x:c>
      <x:c r="AO991" s="9" t="str">
        <x:v>2026-10-25</x:v>
      </x:c>
      <x:c r="AP991" s="11" t="str">
        <x:f>HYPERLINK("https://www.pricecharting.com/game/pc-games/jump-raven","PriceCharting")</x:f>
        <x:v>PriceCharting</x:v>
      </x:c>
      <x:c r="AQ991" s="9"/>
      <x:c r="AR991" s="9"/>
      <x:c r="AS991" s="9"/>
      <x:c r="AT991" s="9"/>
      <x:c r="AU991" s="9"/>
      <x:c r="AV991" s="9"/>
      <x:c r="AW991" s="9"/>
      <x:c r="AX991" s="9"/>
      <x:c r="AY991" s="9"/>
      <x:c r="AZ991" s="9"/>
      <x:c r="BA991" s="11" t="str">
        <x:f>HYPERLINK("https://www.mobygames.com/search/?q=Jump+Raven","MobyGames")</x:f>
        <x:v>MobyGames</x:v>
      </x:c>
      <x:c r="BB991" s="9" t="str">
        <x:v>76%</x:v>
      </x:c>
      <x:c r="BC991" s="9" t="str">
        <x:v>1 review from a PC-only magazine on Wikipedia (PCGUS)</x:v>
      </x:c>
      <x:c r="BD991" s="9" t="str">
        <x:f>HYPERLINK("https://en.wikipedia.org/wiki/Jump_Raven","Source")</x:f>
        <x:v>Source</x:v>
      </x:c>
      <x:c r="BE991" s="9"/>
      <x:c r="BF991" s="11" t="str">
        <x:f>HYPERLINK("https://backloggd.com/search/games/Jump%20Raven/","Backloggd")</x:f>
        <x:v>Backloggd</x:v>
      </x:c>
      <x:c r="BG991" s="9"/>
      <x:c r="BH991" s="9"/>
      <x:c r="BI991" s="12" t="str">
        <x:v>No</x:v>
      </x:c>
      <x:c r="BJ991" s="12" t="str"/>
      <x:c r="BK991" s="12" t="str">
        <x:v>No</x:v>
      </x:c>
      <x:c r="BL991" s="12" t="str"/>
      <x:c r="BM991" s="12" t="str"/>
      <x:c r="BN991" s="12" t="str"/>
      <x:c r="BO991" s="12" t="str"/>
      <x:c r="BP991" s="12" t="str"/>
      <x:c r="BQ991" s="12" t="str"/>
    </x:row>
    <x:row r="992">
      <x:c r="A992" s="9" t="str">
        <x:v>pc-311</x:v>
      </x:c>
      <x:c r="B992" s="9" t="str">
        <x:v>redjack-revenge-of-the-brethren</x:v>
      </x:c>
      <x:c r="C992" s="9" t="str">
        <x:v>PC</x:v>
      </x:c>
      <x:c r="D992" s="9" t="str">
        <x:v>RedJack: Revenge of the Brethren</x:v>
      </x:c>
      <x:c r="E992" s="9" t="str"/>
      <x:c r="F992" s="9" t="str">
        <x:v>CyberFlix</x:v>
      </x:c>
      <x:c r="G992" s="9" t="str">
        <x:v>THQ</x:v>
      </x:c>
      <x:c r="H992" s="9" t="n">
        <x:v>1998</x:v>
      </x:c>
      <x:c r="I992" s="9" t="str">
        <x:v>Yes</x:v>
      </x:c>
      <x:c r="J992" s="9" t="str">
        <x:v>No</x:v>
      </x:c>
      <x:c r="K992" s="9" t="str">
        <x:v>Yes</x:v>
      </x:c>
      <x:c r="L992" s="9" t="str">
        <x:v>No</x:v>
      </x:c>
      <x:c r="M992" s="9" t="str">
        <x:v>Pirate adventure</x:v>
      </x:c>
      <x:c r="N992" s="9" t="str">
        <x:v>Digitized actors</x:v>
      </x:c>
      <x:c r="O992" s="9" t="n">
        <x:v>4</x:v>
      </x:c>
      <x:c r="P992" s="9" t="str">
        <x:v>FMV adventure</x:v>
      </x:c>
      <x:c r="Q992" s="9" t="str">
        <x:v>Released</x:v>
      </x:c>
      <x:c r="R992" s="9" t="str">
        <x:v>Original production</x:v>
      </x:c>
      <x:c r="S992" s="9" t="str">
        <x:v>Macintosh</x:v>
      </x:c>
      <x:c r="T992" s="9" t="str">
        <x:v>Photographed actors with animated mouths (names verify)</x:v>
      </x:c>
      <x:c r="U992" s="9" t="n">
        <x:v>2</x:v>
      </x:c>
      <x:c r="V992" s="9" t="str">
        <x:v>Yes</x:v>
      </x:c>
      <x:c r="W992" s="9" t="str">
        <x:v>Windows 95, Pentium, 16 MB RAM, 4x CD-ROM (verify)</x:v>
      </x:c>
      <x:c r="X992" s="9" t="str">
        <x:v>Low</x:v>
      </x:c>
      <x:c r="Y992" s="9" t="str"/>
      <x:c r="Z992" s="9" t="str">
        <x:v>6–8 hr</x:v>
      </x:c>
      <x:c r="AA992" s="9" t="str">
        <x:v>CyberFlix's last game, a pirate adventure in the Titanic style with sea battles; the studio closed the same year.</x:v>
      </x:c>
      <x:c r="AB992" s="9" t="str">
        <x:v>None known</x:v>
      </x:c>
      <x:c r="AC992" s="9" t="str">
        <x:v>Photographed actors animated at the mouth over rendered ships and islands</x:v>
      </x:c>
      <x:c r="AD992" s="9" t="str">
        <x:v>Moderate; arcade ship combat</x:v>
      </x:c>
      <x:c r="AE992" s="9" t="str">
        <x:v>One</x:v>
      </x:c>
      <x:c r="AF992" s="9" t="str">
        <x:v>Reviews were mixed (verify scores).</x:v>
      </x:c>
      <x:c r="AG992" s="9" t="str">
        <x:v>Windows/Macintosh CD-ROM</x:v>
      </x:c>
      <x:c r="AH992" s="9" t="str">
        <x:v>No</x:v>
      </x:c>
      <x:c r="AI992" s="9" t="str">
        <x:v>Easy</x:v>
      </x:c>
      <x:c r="AJ992" s="9" t="str">
        <x:v>Original disc in DOSBox or a Windows 9x virtual machine; disc images circulate</x:v>
      </x:c>
      <x:c r="AK992" s="9" t="str">
        <x:v>Digitized actors, in for consistency with Titanic and Dust.</x:v>
      </x:c>
      <x:c r="AL992" s="10"/>
      <x:c r="AM992" s="10"/>
      <x:c r="AN992" s="10"/>
      <x:c r="AO992" s="9"/>
      <x:c r="AP992" s="11" t="str">
        <x:f>HYPERLINK("https://www.pricecharting.com/search-products?q=RedJack%3A+Revenge+of+the+Brethren+pc+games&amp;type=prices","PriceCharting")</x:f>
        <x:v>PriceCharting</x:v>
      </x:c>
      <x:c r="AQ992" s="9"/>
      <x:c r="AR992" s="9"/>
      <x:c r="AS992" s="9"/>
      <x:c r="AT992" s="9"/>
      <x:c r="AU992" s="9" t="str">
        <x:v>No market</x:v>
      </x:c>
      <x:c r="AV992" s="9" t="str">
        <x:v>Not sold on Steam or GOG (checked 2026-10-25) and no PriceCharting listing.</x:v>
      </x:c>
      <x:c r="AW992" s="9"/>
      <x:c r="AX992" s="9"/>
      <x:c r="AY992" s="9"/>
      <x:c r="AZ992" s="9"/>
      <x:c r="BA992" s="11" t="str">
        <x:f>HYPERLINK("https://www.mobygames.com/search/?q=RedJack%3A+Revenge+of+the+Brethren","MobyGames")</x:f>
        <x:v>MobyGames</x:v>
      </x:c>
      <x:c r="BB992" s="9" t="str">
        <x:v>69%</x:v>
      </x:c>
      <x:c r="BC992" s="9" t="str">
        <x:v>GameRankings, 12 reviews</x:v>
      </x:c>
      <x:c r="BD992" s="9" t="str">
        <x:f>HYPERLINK("https://web.archive.org/web/20191209011404id_/https://www.gamerankings.com/pc/198442-redjack-revenge-of-the-brethren/","Source")</x:f>
        <x:v>Source</x:v>
      </x:c>
      <x:c r="BE992" s="9"/>
      <x:c r="BF992" s="11" t="str">
        <x:f>HYPERLINK("https://backloggd.com/search/games/RedJack%3A%20Revenge%20of%20the%20Brethren/","Backloggd")</x:f>
        <x:v>Backloggd</x:v>
      </x:c>
      <x:c r="BG992" s="9"/>
      <x:c r="BH992" s="9"/>
      <x:c r="BI992" s="12" t="str">
        <x:v>No</x:v>
      </x:c>
      <x:c r="BJ992" s="12" t="str"/>
      <x:c r="BK992" s="12" t="str">
        <x:v>No</x:v>
      </x:c>
      <x:c r="BL992" s="12" t="str"/>
      <x:c r="BM992" s="12" t="str"/>
      <x:c r="BN992" s="12" t="str"/>
      <x:c r="BO992" s="12" t="str"/>
      <x:c r="BP992" s="12" t="str"/>
      <x:c r="BQ992" s="12" t="str"/>
    </x:row>
    <x:row r="993">
      <x:c r="A993" s="9" t="str">
        <x:v>pc-312</x:v>
      </x:c>
      <x:c r="B993" s="9" t="str">
        <x:v>virtual-nightclub</x:v>
      </x:c>
      <x:c r="C993" s="9" t="str">
        <x:v>PC</x:v>
      </x:c>
      <x:c r="D993" s="9" t="str">
        <x:v>Virtual Nightclub</x:v>
      </x:c>
      <x:c r="E993" s="9" t="str"/>
      <x:c r="F993" s="9" t="str">
        <x:v>Trip Media (verify)</x:v>
      </x:c>
      <x:c r="G993" s="9" t="str">
        <x:v>Prototype Studios (verify)</x:v>
      </x:c>
      <x:c r="H993" s="9" t="n">
        <x:v>1997</x:v>
      </x:c>
      <x:c r="I993" s="9" t="str">
        <x:v>Yes</x:v>
      </x:c>
      <x:c r="J993" s="9" t="str">
        <x:v>No</x:v>
      </x:c>
      <x:c r="K993" s="9" t="str">
        <x:v>Yes</x:v>
      </x:c>
      <x:c r="L993" s="9" t="str">
        <x:v>No</x:v>
      </x:c>
      <x:c r="M993" s="9" t="str">
        <x:v>Music exploration</x:v>
      </x:c>
      <x:c r="N993" s="9" t="str">
        <x:v>Live-action</x:v>
      </x:c>
      <x:c r="O993" s="9" t="n">
        <x:v>6</x:v>
      </x:c>
      <x:c r="P993" s="9" t="str">
        <x:v>FMV adventure</x:v>
      </x:c>
      <x:c r="Q993" s="9" t="str">
        <x:v>Released</x:v>
      </x:c>
      <x:c r="R993" s="9" t="str">
        <x:v>Original production</x:v>
      </x:c>
      <x:c r="S993" s="9"/>
      <x:c r="T993" s="9" t="str">
        <x:v>Club crowd and DJs on video (verify)</x:v>
      </x:c>
      <x:c r="U993" s="9" t="n">
        <x:v>1</x:v>
      </x:c>
      <x:c r="V993" s="9" t="str">
        <x:v>Yes</x:v>
      </x:c>
      <x:c r="W993" s="9" t="str">
        <x:v>Windows 95, Pentium, 16 MB RAM, 4x CD-ROM (verify)</x:v>
      </x:c>
      <x:c r="X993" s="9" t="str">
        <x:v>Med–High</x:v>
      </x:c>
      <x:c r="Y993" s="9" t="str">
        <x:v>Licensed dance music</x:v>
      </x:c>
      <x:c r="Z993" s="9" t="str">
        <x:v>1–2 hr</x:v>
      </x:c>
      <x:c r="AA993" s="9" t="str">
        <x:v>A British CD-ROM nightclub you wander through on video, from the team behind the Bowie and Mind Gym discs (verify).</x:v>
      </x:c>
      <x:c r="AB993" s="9" t="str">
        <x:v>None known</x:v>
      </x:c>
      <x:c r="AC993" s="9" t="str">
        <x:v>Filmed club rooms and performances</x:v>
      </x:c>
      <x:c r="AD993" s="9" t="str">
        <x:v>Easy</x:v>
      </x:c>
      <x:c r="AE993" s="9" t="str">
        <x:v>None</x:v>
      </x:c>
      <x:c r="AF993" s="9" t="str">
        <x:v>Facts from memory; verify.</x:v>
      </x:c>
      <x:c r="AG993" s="9" t="str">
        <x:v>Windows CD-ROM</x:v>
      </x:c>
      <x:c r="AH993" s="9" t="str">
        <x:v>No</x:v>
      </x:c>
      <x:c r="AI993" s="9" t="str">
        <x:v>Easy</x:v>
      </x:c>
      <x:c r="AJ993" s="9" t="str">
        <x:v>Original disc in DOSBox or a Windows 9x virtual machine; disc images circulate</x:v>
      </x:c>
      <x:c r="AK993" s="9" t="str">
        <x:v>TV Tropes lists it; add after verification.</x:v>
      </x:c>
      <x:c r="AL993" s="10"/>
      <x:c r="AM993" s="10"/>
      <x:c r="AN993" s="10"/>
      <x:c r="AO993" s="9"/>
      <x:c r="AP993" s="11" t="str">
        <x:f>HYPERLINK("https://www.pricecharting.com/search-products?q=Virtual+Nightclub+pc+games&amp;type=prices","PriceCharting")</x:f>
        <x:v>PriceCharting</x:v>
      </x:c>
      <x:c r="AQ993" s="9"/>
      <x:c r="AR993" s="9"/>
      <x:c r="AS993" s="9"/>
      <x:c r="AT993" s="9"/>
      <x:c r="AU993" s="9" t="str">
        <x:v>No market</x:v>
      </x:c>
      <x:c r="AV993" s="9" t="str">
        <x:v>Not sold on Steam or GOG (checked 2026-10-25) and no PriceCharting listing.</x:v>
      </x:c>
      <x:c r="AW993" s="9"/>
      <x:c r="AX993" s="9"/>
      <x:c r="AY993" s="9"/>
      <x:c r="AZ993" s="9"/>
      <x:c r="BA993" s="11" t="str">
        <x:f>HYPERLINK("https://www.mobygames.com/search/?q=Virtual+Nightclub","MobyGames")</x:f>
        <x:v>MobyGames</x:v>
      </x:c>
      <x:c r="BB993" s="9" t="str"/>
      <x:c r="BC993" s="9" t="str"/>
      <x:c r="BD993" s="9"/>
      <x:c r="BE993" s="9"/>
      <x:c r="BF993" s="11" t="str">
        <x:f>HYPERLINK("https://backloggd.com/search/games/Virtual%20Nightclub/","Backloggd")</x:f>
        <x:v>Backloggd</x:v>
      </x:c>
      <x:c r="BG993" s="9"/>
      <x:c r="BH993" s="9"/>
      <x:c r="BI993" s="12" t="str">
        <x:v>No</x:v>
      </x:c>
      <x:c r="BJ993" s="12" t="str"/>
      <x:c r="BK993" s="12" t="str">
        <x:v>No</x:v>
      </x:c>
      <x:c r="BL993" s="12" t="str"/>
      <x:c r="BM993" s="12" t="str"/>
      <x:c r="BN993" s="12" t="str"/>
      <x:c r="BO993" s="12" t="str"/>
      <x:c r="BP993" s="12" t="str"/>
      <x:c r="BQ993" s="12" t="str"/>
    </x:row>
    <x:row r="994">
      <x:c r="A994" s="9" t="str">
        <x:v>pc-313</x:v>
      </x:c>
      <x:c r="B994" s="9" t="str">
        <x:v>gag-the-impotent-mystery</x:v>
      </x:c>
      <x:c r="C994" s="9" t="str">
        <x:v>PC</x:v>
      </x:c>
      <x:c r="D994" s="9" t="str">
        <x:v>Gag: The Impotent Mystery</x:v>
      </x:c>
      <x:c r="E994" s="9" t="str">
        <x:v>ГЭГ: Отвязное приключение</x:v>
      </x:c>
      <x:c r="F994" s="9" t="str">
        <x:v>Auric Vision</x:v>
      </x:c>
      <x:c r="G994" s="9" t="str">
        <x:v>Auric Vision; Project Two Interactive (English, verify)</x:v>
      </x:c>
      <x:c r="H994" s="9" t="n">
        <x:v>1997</x:v>
      </x:c>
      <x:c r="I994" s="9" t="str">
        <x:v>Yes</x:v>
      </x:c>
      <x:c r="J994" s="9" t="str">
        <x:v>No</x:v>
      </x:c>
      <x:c r="K994" s="9" t="str">
        <x:v>Yes</x:v>
      </x:c>
      <x:c r="L994" s="9" t="str">
        <x:v>No</x:v>
      </x:c>
      <x:c r="M994" s="9" t="str">
        <x:v>Comedy adventure</x:v>
      </x:c>
      <x:c r="N994" s="9" t="str">
        <x:v>Live-action</x:v>
      </x:c>
      <x:c r="O994" s="9" t="n">
        <x:v>6</x:v>
      </x:c>
      <x:c r="P994" s="9" t="str">
        <x:v>FMV adventure</x:v>
      </x:c>
      <x:c r="Q994" s="9" t="str">
        <x:v>Released</x:v>
      </x:c>
      <x:c r="R994" s="9" t="str">
        <x:v>Original production (Russia)</x:v>
      </x:c>
      <x:c r="S994" s="9"/>
      <x:c r="T994" s="9" t="str">
        <x:v>Russian comic cast (names verify)</x:v>
      </x:c>
      <x:c r="U994" s="9" t="n">
        <x:v>1</x:v>
      </x:c>
      <x:c r="V994" s="9" t="str">
        <x:v>Yes</x:v>
      </x:c>
      <x:c r="W994" s="9" t="str">
        <x:v>Windows 95, Pentium, 16 MB RAM, 4x CD-ROM (verify)</x:v>
      </x:c>
      <x:c r="X994" s="9" t="str">
        <x:v>Low</x:v>
      </x:c>
      <x:c r="Y994" s="9" t="str"/>
      <x:c r="Z994" s="9" t="str">
        <x:v>4–6 hr</x:v>
      </x:c>
      <x:c r="AA994" s="9" t="str">
        <x:v>Russia's first commercial adventure game, a crude filmed farce about a detective's lost potency that got an English release and a cult following for its weirdness.</x:v>
      </x:c>
      <x:c r="AB994" s="9" t="str">
        <x:v>None known</x:v>
      </x:c>
      <x:c r="AC994" s="9" t="str">
        <x:v>Filmed actors over rendered sets, with crude humour and some nudity</x:v>
      </x:c>
      <x:c r="AD994" s="9" t="str">
        <x:v>Moderate</x:v>
      </x:c>
      <x:c r="AE994" s="9" t="str">
        <x:v>One</x:v>
      </x:c>
      <x:c r="AF994" s="9" t="str">
        <x:v>English edition 1998 (verify). Followed by GAG 2 (2000, Russia only).</x:v>
      </x:c>
      <x:c r="AG994" s="9" t="str">
        <x:v>Russian original; English release</x:v>
      </x:c>
      <x:c r="AH994" s="9" t="str">
        <x:v>No</x:v>
      </x:c>
      <x:c r="AI994" s="9" t="str">
        <x:v>Easy</x:v>
      </x:c>
      <x:c r="AJ994" s="9" t="str">
        <x:v>Original disc in DOSBox or a Windows 9x virtual machine; disc images circulate</x:v>
      </x:c>
      <x:c r="AK994" s="9" t="str">
        <x:v>Adult humour and brief nudity, kept as a game in the Riana Rouge sense.</x:v>
      </x:c>
      <x:c r="AL994" s="10"/>
      <x:c r="AM994" s="10"/>
      <x:c r="AN994" s="10"/>
      <x:c r="AO994" s="9"/>
      <x:c r="AP994" s="11" t="str">
        <x:f>HYPERLINK("https://www.pricecharting.com/search-products?q=Gag%3A+The+Impotent+Mystery+pc+games&amp;type=prices","PriceCharting")</x:f>
        <x:v>PriceCharting</x:v>
      </x:c>
      <x:c r="AQ994" s="9"/>
      <x:c r="AR994" s="9"/>
      <x:c r="AS994" s="9"/>
      <x:c r="AT994" s="9"/>
      <x:c r="AU994" s="9" t="str">
        <x:v>No market</x:v>
      </x:c>
      <x:c r="AV994" s="9" t="str">
        <x:v>Not sold on Steam or GOG (checked 2026-10-25) and no PriceCharting listing.</x:v>
      </x:c>
      <x:c r="AW994" s="9"/>
      <x:c r="AX994" s="9"/>
      <x:c r="AY994" s="9"/>
      <x:c r="AZ994" s="9"/>
      <x:c r="BA994" s="11" t="str">
        <x:f>HYPERLINK("https://www.mobygames.com/search/?q=Gag%3A+The+Impotent+Mystery","MobyGames")</x:f>
        <x:v>MobyGames</x:v>
      </x:c>
      <x:c r="BB994" s="9" t="str"/>
      <x:c r="BC994" s="9" t="str"/>
      <x:c r="BD994" s="9"/>
      <x:c r="BE994" s="9"/>
      <x:c r="BF994" s="11" t="str">
        <x:f>HYPERLINK("https://backloggd.com/search/games/Gag%3A%20The%20Impotent%20Mystery/","Backloggd")</x:f>
        <x:v>Backloggd</x:v>
      </x:c>
      <x:c r="BG994" s="9"/>
      <x:c r="BH994" s="9"/>
      <x:c r="BI994" s="12" t="str">
        <x:v>No</x:v>
      </x:c>
      <x:c r="BJ994" s="12" t="str"/>
      <x:c r="BK994" s="12" t="str">
        <x:v>No</x:v>
      </x:c>
      <x:c r="BL994" s="12" t="str"/>
      <x:c r="BM994" s="12" t="str"/>
      <x:c r="BN994" s="12" t="str"/>
      <x:c r="BO994" s="12" t="str"/>
      <x:c r="BP994" s="12" t="str"/>
      <x:c r="BQ994" s="12" t="str"/>
    </x:row>
    <x:row r="995">
      <x:c r="A995" s="9" t="str">
        <x:v>pc-314</x:v>
      </x:c>
      <x:c r="B995" s="9" t="str">
        <x:v>hamlet-a-murder-mystery</x:v>
      </x:c>
      <x:c r="C995" s="9" t="str">
        <x:v>PC</x:v>
      </x:c>
      <x:c r="D995" s="9" t="str">
        <x:v>William Shakespeare's Hamlet: A Murder Mystery</x:v>
      </x:c>
      <x:c r="E995" s="9" t="str"/>
      <x:c r="F995" s="9" t="str">
        <x:v>EMME Interactive (verify)</x:v>
      </x:c>
      <x:c r="G995" s="9" t="str">
        <x:v>Castle Rock Entertainment; EMME (verify)</x:v>
      </x:c>
      <x:c r="H995" s="9" t="n">
        <x:v>1997</x:v>
      </x:c>
      <x:c r="I995" s="9" t="str">
        <x:v>Yes</x:v>
      </x:c>
      <x:c r="J995" s="9" t="str">
        <x:v>No</x:v>
      </x:c>
      <x:c r="K995" s="9" t="str">
        <x:v>Yes</x:v>
      </x:c>
      <x:c r="L995" s="9" t="str">
        <x:v>No</x:v>
      </x:c>
      <x:c r="M995" s="9" t="str">
        <x:v>Literary mystery adventure</x:v>
      </x:c>
      <x:c r="N995" s="9" t="str">
        <x:v>Film footage</x:v>
      </x:c>
      <x:c r="O995" s="9" t="n">
        <x:v>6</x:v>
      </x:c>
      <x:c r="P995" s="9" t="str">
        <x:v>FMV adventure</x:v>
      </x:c>
      <x:c r="Q995" s="9" t="str">
        <x:v>Released</x:v>
      </x:c>
      <x:c r="R995" s="9" t="str">
        <x:v>Original production</x:v>
      </x:c>
      <x:c r="S995" s="9" t="str">
        <x:v>Macintosh</x:v>
      </x:c>
      <x:c r="T995" s="9" t="str">
        <x:v>Kenneth Branagh, Kate Winslet, Derek Jacobi and the 1996 film cast, in clips (verify)</x:v>
      </x:c>
      <x:c r="U995" s="9" t="n">
        <x:v>1</x:v>
      </x:c>
      <x:c r="V995" s="9" t="str">
        <x:v>Yes</x:v>
      </x:c>
      <x:c r="W995" s="9" t="str">
        <x:v>Windows 95, Pentium, 16 MB RAM, 4x CD-ROM (verify)</x:v>
      </x:c>
      <x:c r="X995" s="9" t="str">
        <x:v>HIGH</x:v>
      </x:c>
      <x:c r="Y995" s="9" t="str">
        <x:v>Castle Rock film footage</x:v>
      </x:c>
      <x:c r="Z995" s="9" t="str">
        <x:v>2–4 hr</x:v>
      </x:c>
      <x:c r="AA995" s="9" t="str">
        <x:v>Investigate Elsinore as a detective using clips of Branagh's four-hour Hamlet; a tie-in nobody remembers the film had.</x:v>
      </x:c>
      <x:c r="AB995" s="9" t="str">
        <x:v>None known</x:v>
      </x:c>
      <x:c r="AC995" s="9" t="str">
        <x:v>Clips from the 1996 film cut into an investigation (verify)</x:v>
      </x:c>
      <x:c r="AD995" s="9" t="str">
        <x:v>Moderate</x:v>
      </x:c>
      <x:c r="AE995" s="9" t="str">
        <x:v>One</x:v>
      </x:c>
      <x:c r="AF995" s="9" t="str">
        <x:v>Facts from memory; verify.</x:v>
      </x:c>
      <x:c r="AG995" s="9" t="str">
        <x:v>Windows/Macintosh CD-ROM</x:v>
      </x:c>
      <x:c r="AH995" s="9" t="str">
        <x:v>No</x:v>
      </x:c>
      <x:c r="AI995" s="9" t="str">
        <x:v>Easy</x:v>
      </x:c>
      <x:c r="AJ995" s="9" t="str">
        <x:v>Original disc in DOSBox or a Windows 9x virtual machine; disc images circulate</x:v>
      </x:c>
      <x:c r="AK995" s="9"/>
      <x:c r="AL995" s="10"/>
      <x:c r="AM995" s="10"/>
      <x:c r="AN995" s="10"/>
      <x:c r="AO995" s="9"/>
      <x:c r="AP995" s="11" t="str">
        <x:f>HYPERLINK("https://www.pricecharting.com/search-products?q=William+Shakespeare%27s+Hamlet%3A+A+Murder+Mystery+pc+games&amp;type=prices","PriceCharting")</x:f>
        <x:v>PriceCharting</x:v>
      </x:c>
      <x:c r="AQ995" s="9"/>
      <x:c r="AR995" s="9"/>
      <x:c r="AS995" s="9"/>
      <x:c r="AT995" s="9"/>
      <x:c r="AU995" s="9" t="str">
        <x:v>No market</x:v>
      </x:c>
      <x:c r="AV995" s="9" t="str">
        <x:v>Not sold on Steam or GOG (checked 2026-10-25) and no PriceCharting listing.</x:v>
      </x:c>
      <x:c r="AW995" s="9"/>
      <x:c r="AX995" s="9"/>
      <x:c r="AY995" s="9"/>
      <x:c r="AZ995" s="9"/>
      <x:c r="BA995" s="11" t="str">
        <x:f>HYPERLINK("https://www.mobygames.com/game/22037/william-shakespeares-hamlet-a-murder-mystery/","MobyGames")</x:f>
        <x:v>MobyGames</x:v>
      </x:c>
      <x:c r="BB995" s="9" t="str"/>
      <x:c r="BC995" s="9" t="str"/>
      <x:c r="BD995" s="9"/>
      <x:c r="BE995" s="9"/>
      <x:c r="BF995" s="11" t="str">
        <x:f>HYPERLINK("https://backloggd.com/search/games/William%20Shakespeare%27s%20Hamlet%3A%20A%20Murder%20Mystery/","Backloggd")</x:f>
        <x:v>Backloggd</x:v>
      </x:c>
      <x:c r="BG995" s="9"/>
      <x:c r="BH995" s="9"/>
      <x:c r="BI995" s="12" t="str">
        <x:v>No</x:v>
      </x:c>
      <x:c r="BJ995" s="12" t="str"/>
      <x:c r="BK995" s="12" t="str">
        <x:v>No</x:v>
      </x:c>
      <x:c r="BL995" s="12" t="str"/>
      <x:c r="BM995" s="12" t="str"/>
      <x:c r="BN995" s="12" t="str"/>
      <x:c r="BO995" s="12" t="str"/>
      <x:c r="BP995" s="12" t="str"/>
      <x:c r="BQ995" s="12" t="str"/>
    </x:row>
    <x:row r="996">
      <x:c r="A996" s="9" t="str">
        <x:v>pc-315</x:v>
      </x:c>
      <x:c r="B996" s="9" t="str">
        <x:v>gothos</x:v>
      </x:c>
      <x:c r="C996" s="9" t="str">
        <x:v>PC</x:v>
      </x:c>
      <x:c r="D996" s="9" t="str">
        <x:v>Gothos</x:v>
      </x:c>
      <x:c r="E996" s="9" t="str"/>
      <x:c r="F996" s="9" t="str">
        <x:v>Mindmeld Multimedia</x:v>
      </x:c>
      <x:c r="G996" s="9" t="str">
        <x:v>Microforum International</x:v>
      </x:c>
      <x:c r="H996" s="9" t="n">
        <x:v>1997</x:v>
      </x:c>
      <x:c r="I996" s="9" t="str">
        <x:v>Yes</x:v>
      </x:c>
      <x:c r="J996" s="9" t="str">
        <x:v>No</x:v>
      </x:c>
      <x:c r="K996" s="9" t="str">
        <x:v>Yes</x:v>
      </x:c>
      <x:c r="L996" s="9" t="str">
        <x:v>No</x:v>
      </x:c>
      <x:c r="M996" s="9" t="str">
        <x:v>Horror adventure</x:v>
      </x:c>
      <x:c r="N996" s="9" t="str">
        <x:v>Live-action</x:v>
      </x:c>
      <x:c r="O996" s="9" t="n">
        <x:v>7</x:v>
      </x:c>
      <x:c r="P996" s="9" t="str">
        <x:v>FMV adventure</x:v>
      </x:c>
      <x:c r="Q996" s="9" t="str">
        <x:v>Released</x:v>
      </x:c>
      <x:c r="R996" s="9" t="str">
        <x:v>Original production</x:v>
      </x:c>
      <x:c r="S996" s="9"/>
      <x:c r="T996" s="9" t="str">
        <x:v>Filmed cast (names verify)</x:v>
      </x:c>
      <x:c r="U996" s="9" t="n">
        <x:v>2</x:v>
      </x:c>
      <x:c r="V996" s="9" t="str">
        <x:v>Yes</x:v>
      </x:c>
      <x:c r="W996" s="9" t="str">
        <x:v>Windows 95, Pentium, 16 MB RAM, 4x CD-ROM (verify)</x:v>
      </x:c>
      <x:c r="X996" s="9" t="str">
        <x:v>Low</x:v>
      </x:c>
      <x:c r="Y996" s="9" t="str"/>
      <x:c r="Z996" s="9" t="str">
        <x:v>4–6 hr</x:v>
      </x:c>
      <x:c r="AA996" s="9" t="str">
        <x:v>Microforum's filmed gothic horror in a haunted house, from the last year the company made games.</x:v>
      </x:c>
      <x:c r="AB996" s="9" t="str">
        <x:v>None known</x:v>
      </x:c>
      <x:c r="AC996" s="9" t="str">
        <x:v>Filmed scenes and apparitions over rendered rooms (verify)</x:v>
      </x:c>
      <x:c r="AD996" s="9" t="str">
        <x:v>Moderate</x:v>
      </x:c>
      <x:c r="AE996" s="9" t="str">
        <x:v>One</x:v>
      </x:c>
      <x:c r="AF996" s="9" t="str">
        <x:v>Microforum cut staff from 249 to 97 in 1997. Facts verify.</x:v>
      </x:c>
      <x:c r="AG996" s="9" t="str">
        <x:v>Windows CD-ROM</x:v>
      </x:c>
      <x:c r="AH996" s="9" t="str">
        <x:v>No</x:v>
      </x:c>
      <x:c r="AI996" s="9" t="str">
        <x:v>Easy</x:v>
      </x:c>
      <x:c r="AJ996" s="9" t="str">
        <x:v>Original disc in DOSBox or a Windows 9x virtual machine; disc images circulate</x:v>
      </x:c>
      <x:c r="AK996" s="9"/>
      <x:c r="AL996" s="10"/>
      <x:c r="AM996" s="10"/>
      <x:c r="AN996" s="10"/>
      <x:c r="AO996" s="9"/>
      <x:c r="AP996" s="11" t="str">
        <x:f>HYPERLINK("https://www.pricecharting.com/search-products?q=Gothos+pc+games&amp;type=prices","PriceCharting")</x:f>
        <x:v>PriceCharting</x:v>
      </x:c>
      <x:c r="AQ996" s="9"/>
      <x:c r="AR996" s="9"/>
      <x:c r="AS996" s="9"/>
      <x:c r="AT996" s="9"/>
      <x:c r="AU996" s="9" t="str">
        <x:v>No market</x:v>
      </x:c>
      <x:c r="AV996" s="9" t="str">
        <x:v>Not sold on Steam or GOG (checked 2026-10-25) and no PriceCharting listing.</x:v>
      </x:c>
      <x:c r="AW996" s="9"/>
      <x:c r="AX996" s="9"/>
      <x:c r="AY996" s="9"/>
      <x:c r="AZ996" s="9"/>
      <x:c r="BA996" s="11" t="str">
        <x:f>HYPERLINK("https://www.mobygames.com/game/26176/gothos/","MobyGames")</x:f>
        <x:v>MobyGames</x:v>
      </x:c>
      <x:c r="BB996" s="9" t="str"/>
      <x:c r="BC996" s="9" t="str"/>
      <x:c r="BD996" s="9"/>
      <x:c r="BE996" s="9"/>
      <x:c r="BF996" s="11" t="str">
        <x:f>HYPERLINK("https://backloggd.com/search/games/Gothos/","Backloggd")</x:f>
        <x:v>Backloggd</x:v>
      </x:c>
      <x:c r="BG996" s="9"/>
      <x:c r="BH996" s="9"/>
      <x:c r="BI996" s="12" t="str">
        <x:v>No</x:v>
      </x:c>
      <x:c r="BJ996" s="12" t="str"/>
      <x:c r="BK996" s="12" t="str">
        <x:v>No</x:v>
      </x:c>
      <x:c r="BL996" s="12" t="str"/>
      <x:c r="BM996" s="12" t="str"/>
      <x:c r="BN996" s="12" t="str"/>
      <x:c r="BO996" s="12" t="str"/>
      <x:c r="BP996" s="12" t="str"/>
      <x:c r="BQ996" s="12" t="str"/>
    </x:row>
    <x:row r="997">
      <x:c r="A997" s="9" t="str">
        <x:v>pc-316</x:v>
      </x:c>
      <x:c r="B997" s="9" t="str">
        <x:v>vikings-1998</x:v>
      </x:c>
      <x:c r="C997" s="9" t="str">
        <x:v>PC</x:v>
      </x:c>
      <x:c r="D997" s="9" t="str">
        <x:v>Vikings</x:v>
      </x:c>
      <x:c r="E997" s="9" t="str">
        <x:v>Vikings: Adventure Out of Time; Vikingos</x:v>
      </x:c>
      <x:c r="F997" s="9" t="str">
        <x:v>Index+ (verify)</x:v>
      </x:c>
      <x:c r="G997" s="9" t="str">
        <x:v>Index+; Cryo (verify)</x:v>
      </x:c>
      <x:c r="H997" s="9" t="n">
        <x:v>1998</x:v>
      </x:c>
      <x:c r="I997" s="9" t="str">
        <x:v>Yes</x:v>
      </x:c>
      <x:c r="J997" s="9" t="str">
        <x:v>No</x:v>
      </x:c>
      <x:c r="K997" s="9" t="str">
        <x:v>Yes</x:v>
      </x:c>
      <x:c r="L997" s="9" t="str">
        <x:v>No</x:v>
      </x:c>
      <x:c r="M997" s="9" t="str">
        <x:v>Historical edutainment adventure</x:v>
      </x:c>
      <x:c r="N997" s="9" t="str">
        <x:v>Live-action</x:v>
      </x:c>
      <x:c r="O997" s="9" t="n">
        <x:v>6</x:v>
      </x:c>
      <x:c r="P997" s="9" t="str">
        <x:v>FMV adventure</x:v>
      </x:c>
      <x:c r="Q997" s="9" t="str">
        <x:v>Released</x:v>
      </x:c>
      <x:c r="R997" s="9" t="str">
        <x:v>Original production</x:v>
      </x:c>
      <x:c r="S997" s="9" t="str">
        <x:v>Macintosh</x:v>
      </x:c>
      <x:c r="T997" s="9" t="str">
        <x:v>Costumed actors blended into the scenes</x:v>
      </x:c>
      <x:c r="U997" s="9" t="n">
        <x:v>1</x:v>
      </x:c>
      <x:c r="V997" s="9" t="str">
        <x:v>Yes</x:v>
      </x:c>
      <x:c r="W997" s="9" t="str">
        <x:v>Windows 95, Pentium, 16 MB RAM, 4x CD-ROM (verify)</x:v>
      </x:c>
      <x:c r="X997" s="9" t="str">
        <x:v>Low</x:v>
      </x:c>
      <x:c r="Y997" s="9" t="str"/>
      <x:c r="Z997" s="9" t="str">
        <x:v>6–8 hr</x:v>
      </x:c>
      <x:c r="AA997" s="9" t="str">
        <x:v>Hjalmar sails from Finland to Vinland in nine riddles, with costumed actors on video and a Viking encyclopaedia you need to solve them.</x:v>
      </x:c>
      <x:c r="AB997" s="9" t="str">
        <x:v>None known</x:v>
      </x:c>
      <x:c r="AC997" s="9" t="str">
        <x:v>Costumed actors blended into 2D scenes plus several full-screen video sequences</x:v>
      </x:c>
      <x:c r="AD997" s="9" t="str">
        <x:v>Moderate; needs the built-in reference database</x:v>
      </x:c>
      <x:c r="AE997" s="9" t="str">
        <x:v>One</x:v>
      </x:c>
      <x:c r="AF997" s="9" t="str">
        <x:v>MobyGames 59% from 5 critics, 2.5/5 from players. The credits carry a bibliography of French Viking scholarship.</x:v>
      </x:c>
      <x:c r="AG997" s="9" t="str">
        <x:v>Windows/Macintosh</x:v>
      </x:c>
      <x:c r="AH997" s="9" t="str">
        <x:v>No</x:v>
      </x:c>
      <x:c r="AI997" s="9" t="str">
        <x:v>Easy</x:v>
      </x:c>
      <x:c r="AJ997" s="9" t="str">
        <x:v>Original disc in DOSBox or a Windows 9x virtual machine; disc images circulate</x:v>
      </x:c>
      <x:c r="AK997" s="9"/>
      <x:c r="AL997" s="10"/>
      <x:c r="AM997" s="10"/>
      <x:c r="AN997" s="10"/>
      <x:c r="AO997" s="9"/>
      <x:c r="AP997" s="11" t="str">
        <x:f>HYPERLINK("https://www.pricecharting.com/search-products?q=Vikings+pc+games&amp;type=prices","PriceCharting")</x:f>
        <x:v>PriceCharting</x:v>
      </x:c>
      <x:c r="AQ997" s="9"/>
      <x:c r="AR997" s="9"/>
      <x:c r="AS997" s="9"/>
      <x:c r="AT997" s="9"/>
      <x:c r="AU997" s="9" t="str">
        <x:v>No market</x:v>
      </x:c>
      <x:c r="AV997" s="9" t="str">
        <x:v>Not sold on Steam or GOG (checked 2026-10-25) and no PriceCharting listing.</x:v>
      </x:c>
      <x:c r="AW997" s="9"/>
      <x:c r="AX997" s="9"/>
      <x:c r="AY997" s="9" t="str">
        <x:v>57%</x:v>
      </x:c>
      <x:c r="AZ997" s="9" t="str">
        <x:v>3.1</x:v>
      </x:c>
      <x:c r="BA997" s="11" t="str">
        <x:f>HYPERLINK("https://www.mobygames.com/game/windows/vikings","MobyGames")</x:f>
        <x:v>MobyGames</x:v>
      </x:c>
      <x:c r="BB997" s="9" t="str"/>
      <x:c r="BC997" s="9" t="str"/>
      <x:c r="BD997" s="9"/>
      <x:c r="BE997" s="9"/>
      <x:c r="BF997" s="11" t="str">
        <x:f>HYPERLINK("https://backloggd.com/search/games/Vikings/","Backloggd")</x:f>
        <x:v>Backloggd</x:v>
      </x:c>
      <x:c r="BG997" s="9"/>
      <x:c r="BH997" s="9"/>
      <x:c r="BI997" s="12" t="str">
        <x:v>No</x:v>
      </x:c>
      <x:c r="BJ997" s="12" t="str"/>
      <x:c r="BK997" s="12" t="str">
        <x:v>No</x:v>
      </x:c>
      <x:c r="BL997" s="12" t="str"/>
      <x:c r="BM997" s="12" t="str"/>
      <x:c r="BN997" s="12" t="str"/>
      <x:c r="BO997" s="12" t="str"/>
      <x:c r="BP997" s="12" t="str"/>
      <x:c r="BQ997" s="12" t="str"/>
    </x:row>
    <x:row r="998">
      <x:c r="A998" s="9" t="str">
        <x:v>pc-317</x:v>
      </x:c>
      <x:c r="B998" s="9" t="str">
        <x:v>tekwar</x:v>
      </x:c>
      <x:c r="C998" s="9" t="str">
        <x:v>PC</x:v>
      </x:c>
      <x:c r="D998" s="9" t="str">
        <x:v>William Shatner's TekWar</x:v>
      </x:c>
      <x:c r="E998" s="9" t="str">
        <x:v>TekWar</x:v>
      </x:c>
      <x:c r="F998" s="9" t="str">
        <x:v>Capstone Software</x:v>
      </x:c>
      <x:c r="G998" s="9" t="str">
        <x:v>IntraCorp</x:v>
      </x:c>
      <x:c r="H998" s="9" t="n">
        <x:v>1995</x:v>
      </x:c>
      <x:c r="I998" s="9" t="str">
        <x:v>Yes</x:v>
      </x:c>
      <x:c r="J998" s="9" t="str">
        <x:v>No</x:v>
      </x:c>
      <x:c r="K998" s="9" t="str">
        <x:v>Yes</x:v>
      </x:c>
      <x:c r="L998" s="9" t="str">
        <x:v>No</x:v>
      </x:c>
      <x:c r="M998" s="9" t="str">
        <x:v>First-person shooter</x:v>
      </x:c>
      <x:c r="N998" s="9" t="str">
        <x:v>Live-action</x:v>
      </x:c>
      <x:c r="O998" s="9" t="n">
        <x:v>3</x:v>
      </x:c>
      <x:c r="P998" s="9" t="str">
        <x:v>Cutscenes only</x:v>
      </x:c>
      <x:c r="Q998" s="9" t="str">
        <x:v>Released</x:v>
      </x:c>
      <x:c r="R998" s="9" t="str">
        <x:v>Original production</x:v>
      </x:c>
      <x:c r="S998" s="9"/>
      <x:c r="T998" s="9" t="str">
        <x:v>William Shatner as Walter Bascom</x:v>
      </x:c>
      <x:c r="U998" s="9" t="n">
        <x:v>1</x:v>
      </x:c>
      <x:c r="V998" s="9" t="str">
        <x:v>Yes</x:v>
      </x:c>
      <x:c r="W998" s="9" t="str">
        <x:v>MS-DOS, 486, 8 MB RAM, 2x CD-ROM (verify)</x:v>
      </x:c>
      <x:c r="X998" s="9" t="str">
        <x:v>Low</x:v>
      </x:c>
      <x:c r="Y998" s="9" t="str"/>
      <x:c r="Z998" s="9" t="str">
        <x:v>6–8 hr</x:v>
      </x:c>
      <x:c r="AA998" s="9" t="str">
        <x:v>William Shatner briefs you on video in a Build-engine shooter so bad it became the standard Capstone joke.</x:v>
      </x:c>
      <x:c r="AB998" s="9" t="str">
        <x:v>None known</x:v>
      </x:c>
      <x:c r="AC998" s="9" t="str">
        <x:v>Filmed Shatner briefings between levels</x:v>
      </x:c>
      <x:c r="AD998" s="9" t="str">
        <x:v>Hard; infamous level design</x:v>
      </x:c>
      <x:c r="AE998" s="9" t="str">
        <x:v>One</x:v>
      </x:c>
      <x:c r="AF998" s="9" t="str">
        <x:v>Based on Shatner's novels and TV series. Regularly on worst-FPS lists (verify scores).</x:v>
      </x:c>
      <x:c r="AG998" s="9" t="str">
        <x:v>DOS CD-ROM</x:v>
      </x:c>
      <x:c r="AH998" s="9" t="str">
        <x:v>No</x:v>
      </x:c>
      <x:c r="AI998" s="9" t="str">
        <x:v>Easy</x:v>
      </x:c>
      <x:c r="AJ998" s="9" t="str">
        <x:v>Original disc in DOSBox or a Windows 9x virtual machine; disc images circulate</x:v>
      </x:c>
      <x:c r="AK998" s="9"/>
      <x:c r="AL998" s="10"/>
      <x:c r="AM998" s="10"/>
      <x:c r="AN998" s="10"/>
      <x:c r="AO998" s="9"/>
      <x:c r="AP998" s="11" t="str">
        <x:f>HYPERLINK("https://www.pricecharting.com/search-products?q=William+Shatner%27s+TekWar+pc+games&amp;type=prices","PriceCharting")</x:f>
        <x:v>PriceCharting</x:v>
      </x:c>
      <x:c r="AQ998" s="9"/>
      <x:c r="AR998" s="9"/>
      <x:c r="AS998" s="9"/>
      <x:c r="AT998" s="9"/>
      <x:c r="AU998" s="9" t="str">
        <x:v>No market</x:v>
      </x:c>
      <x:c r="AV998" s="9" t="str">
        <x:v>Not sold on Steam or GOG (checked 2026-10-25) and no PriceCharting listing.</x:v>
      </x:c>
      <x:c r="AW998" s="9"/>
      <x:c r="AX998" s="9"/>
      <x:c r="AY998" s="9"/>
      <x:c r="AZ998" s="9"/>
      <x:c r="BA998" s="11" t="str">
        <x:f>HYPERLINK("https://www.mobygames.com/search/?q=William+Shatner%27s+TekWar","MobyGames")</x:f>
        <x:v>MobyGames</x:v>
      </x:c>
      <x:c r="BB998" s="9" t="str">
        <x:v>46%</x:v>
      </x:c>
      <x:c r="BC998" s="9" t="str">
        <x:v>GameRankings, 1 review</x:v>
      </x:c>
      <x:c r="BD998" s="9" t="str">
        <x:f>HYPERLINK("https://web.archive.org/web/20191209013949id_/https://www.gamerankings.com/pc/198902-william-shatners-tekwar/","Source")</x:f>
        <x:v>Source</x:v>
      </x:c>
      <x:c r="BE998" s="11" t="str">
        <x:f>HYPERLINK("https://en.wikipedia.org/wiki/William_Shatner%27s_TekWar_(video_game)","Wikipedia")</x:f>
        <x:v>Wikipedia</x:v>
      </x:c>
      <x:c r="BF998" s="11" t="str">
        <x:f>HYPERLINK("https://backloggd.com/search/games/William%20Shatner%27s%20TekWar/","Backloggd")</x:f>
        <x:v>Backloggd</x:v>
      </x:c>
      <x:c r="BG998" s="9"/>
      <x:c r="BH998" s="9"/>
      <x:c r="BI998" s="12" t="str">
        <x:v>No</x:v>
      </x:c>
      <x:c r="BJ998" s="12" t="str"/>
      <x:c r="BK998" s="12" t="str">
        <x:v>No</x:v>
      </x:c>
      <x:c r="BL998" s="12" t="str"/>
      <x:c r="BM998" s="12" t="str"/>
      <x:c r="BN998" s="12" t="str"/>
      <x:c r="BO998" s="12" t="str"/>
      <x:c r="BP998" s="12" t="str"/>
      <x:c r="BQ998" s="12" t="str"/>
    </x:row>
    <x:row r="999">
      <x:c r="A999" s="9" t="str">
        <x:v>pc-318</x:v>
      </x:c>
      <x:c r="B999" s="9" t="str">
        <x:v>terra-nova-strike-force-centauri</x:v>
      </x:c>
      <x:c r="C999" s="9" t="str">
        <x:v>PC</x:v>
      </x:c>
      <x:c r="D999" s="9" t="str">
        <x:v>Terra Nova: Strike Force Centauri</x:v>
      </x:c>
      <x:c r="E999" s="9" t="str"/>
      <x:c r="F999" s="9" t="str">
        <x:v>Looking Glass Technologies</x:v>
      </x:c>
      <x:c r="G999" s="9" t="str">
        <x:v>Virgin Interactive</x:v>
      </x:c>
      <x:c r="H999" s="9" t="n">
        <x:v>1996</x:v>
      </x:c>
      <x:c r="I999" s="9" t="str">
        <x:v>Yes</x:v>
      </x:c>
      <x:c r="J999" s="9" t="str">
        <x:v>No</x:v>
      </x:c>
      <x:c r="K999" s="9" t="str">
        <x:v>Yes</x:v>
      </x:c>
      <x:c r="L999" s="9" t="str">
        <x:v>No</x:v>
      </x:c>
      <x:c r="M999" s="9" t="str">
        <x:v>Squad-based mech shooter</x:v>
      </x:c>
      <x:c r="N999" s="9" t="str">
        <x:v>Live-action</x:v>
      </x:c>
      <x:c r="O999" s="9" t="n">
        <x:v>3</x:v>
      </x:c>
      <x:c r="P999" s="9" t="str">
        <x:v>Cutscenes only</x:v>
      </x:c>
      <x:c r="Q999" s="9" t="str">
        <x:v>Released</x:v>
      </x:c>
      <x:c r="R999" s="9" t="str">
        <x:v>Original production</x:v>
      </x:c>
      <x:c r="S999" s="9"/>
      <x:c r="T999" s="9" t="str">
        <x:v>Looking Glass staff and local actors in filmed cutscenes (names verify)</x:v>
      </x:c>
      <x:c r="U999" s="9" t="n">
        <x:v>1</x:v>
      </x:c>
      <x:c r="V999" s="9" t="str">
        <x:v>Yes</x:v>
      </x:c>
      <x:c r="W999" s="9" t="str">
        <x:v>MS-DOS, 486, 8 MB RAM, 2x CD-ROM (verify)</x:v>
      </x:c>
      <x:c r="X999" s="9" t="str">
        <x:v>Low</x:v>
      </x:c>
      <x:c r="Y999" s="9" t="str"/>
      <x:c r="Z999" s="9" t="str">
        <x:v>15–20 hr</x:v>
      </x:c>
      <x:c r="AA999" s="9" t="str">
        <x:v>Looking Glass's tactical shooter told between missions in cheap, charming live-action cutscenes the studio shot itself.</x:v>
      </x:c>
      <x:c r="AB999" s="9" t="str">
        <x:v>None known</x:v>
      </x:c>
      <x:c r="AC999" s="9" t="str">
        <x:v>Filmed cutscenes between missions, the only live-action Looking Glass ever shot</x:v>
      </x:c>
      <x:c r="AD999" s="9" t="str">
        <x:v>Moderate</x:v>
      </x:c>
      <x:c r="AE999" s="9" t="str">
        <x:v>One</x:v>
      </x:c>
      <x:c r="AF999" s="9" t="str">
        <x:v>Praised for its simulation and remembered for the FMV; sold poorly. On GOG.</x:v>
      </x:c>
      <x:c r="AG999" s="9" t="str">
        <x:v>DOS CD-ROM; GOG</x:v>
      </x:c>
      <x:c r="AH999" s="9" t="str">
        <x:v>Yes (GOG)</x:v>
      </x:c>
      <x:c r="AI999" s="9" t="str">
        <x:v>Easy</x:v>
      </x:c>
      <x:c r="AJ999" s="9" t="str">
        <x:v>GOG</x:v>
      </x:c>
      <x:c r="AK999" s="9"/>
      <x:c r="AL999" s="10"/>
      <x:c r="AM999" s="10"/>
      <x:c r="AN999" s="10"/>
      <x:c r="AO999" s="9"/>
      <x:c r="AP999" s="11" t="str">
        <x:f>HYPERLINK("https://www.pricecharting.com/search-products?q=Terra+Nova%3A+Strike+Force+Centauri+pc+games&amp;type=prices","PriceCharting")</x:f>
        <x:v>PriceCharting</x:v>
      </x:c>
      <x:c r="AQ999" s="9" t="n">
        <x:v>5.99</x:v>
      </x:c>
      <x:c r="AR999" s="11" t="str">
        <x:v>Steam</x:v>
      </x:c>
      <x:c r="AS999" s="9" t="str">
        <x:f>HYPERLINK("https://store.steampowered.com/app/368600/","Store")</x:f>
        <x:v>Store</x:v>
      </x:c>
      <x:c r="AT999" s="9" t="str">
        <x:v>2026-10-25</x:v>
      </x:c>
      <x:c r="AU999" s="9"/>
      <x:c r="AV999" s="9"/>
      <x:c r="AW999" s="9"/>
      <x:c r="AX999" s="9"/>
      <x:c r="AY999" s="9"/>
      <x:c r="AZ999" s="9"/>
      <x:c r="BA999" s="11" t="str">
        <x:f>HYPERLINK("https://www.mobygames.com/search/?q=Terra+Nova%3A+Strike+Force+Centauri","MobyGames")</x:f>
        <x:v>MobyGames</x:v>
      </x:c>
      <x:c r="BB999" s="9" t="str">
        <x:v>86%</x:v>
      </x:c>
      <x:c r="BC999" s="9" t="str">
        <x:v>average of 7 reviews on Wikipedia (CGW, Computer Games Strategy Plus, Edge, Maximum, NGen, PC Magazine, PCGUK)</x:v>
      </x:c>
      <x:c r="BD999" s="9" t="str">
        <x:f>HYPERLINK("https://en.wikipedia.org/wiki/Terra_Nova%3A_Strike_Force_Centauri","Source")</x:f>
        <x:v>Source</x:v>
      </x:c>
      <x:c r="BE999" s="11" t="str">
        <x:f>HYPERLINK("https://en.wikipedia.org/wiki/Terra_Nova:_Strike_Force_Centauri","Wikipedia")</x:f>
        <x:v>Wikipedia</x:v>
      </x:c>
      <x:c r="BF999" s="11" t="str">
        <x:f>HYPERLINK("https://backloggd.com/search/games/Terra%20Nova%3A%20Strike%20Force%20Centauri/","Backloggd")</x:f>
        <x:v>Backloggd</x:v>
      </x:c>
      <x:c r="BG999" s="9"/>
      <x:c r="BH999" s="9"/>
      <x:c r="BI999" s="12" t="str">
        <x:v>No</x:v>
      </x:c>
      <x:c r="BJ999" s="12" t="str"/>
      <x:c r="BK999" s="12" t="str">
        <x:v>No</x:v>
      </x:c>
      <x:c r="BL999" s="12" t="str"/>
      <x:c r="BM999" s="12" t="str"/>
      <x:c r="BN999" s="12" t="str"/>
      <x:c r="BO999" s="12" t="str"/>
      <x:c r="BP999" s="12" t="str"/>
      <x:c r="BQ999" s="12" t="str"/>
    </x:row>
    <x:row r="1000">
      <x:c r="A1000" s="9" t="str">
        <x:v>pc-319</x:v>
      </x:c>
      <x:c r="B1000" s="9" t="str">
        <x:v>simcity-enhanced-cd-rom</x:v>
      </x:c>
      <x:c r="C1000" s="9" t="str">
        <x:v>PC</x:v>
      </x:c>
      <x:c r="D1000" s="9" t="str">
        <x:v>SimCity Enhanced CD-ROM</x:v>
      </x:c>
      <x:c r="E1000" s="9" t="str"/>
      <x:c r="F1000" s="9" t="str">
        <x:v>Interplay Productions</x:v>
      </x:c>
      <x:c r="G1000" s="9" t="str">
        <x:v>Interplay Productions; Maxis</x:v>
      </x:c>
      <x:c r="H1000" s="9" t="n">
        <x:v>1993</x:v>
      </x:c>
      <x:c r="I1000" s="9" t="str">
        <x:v>Yes</x:v>
      </x:c>
      <x:c r="J1000" s="9" t="str">
        <x:v>No</x:v>
      </x:c>
      <x:c r="K1000" s="9" t="str">
        <x:v>Yes</x:v>
      </x:c>
      <x:c r="L1000" s="9" t="str">
        <x:v>No</x:v>
      </x:c>
      <x:c r="M1000" s="9" t="str">
        <x:v>City builder with live-action news</x:v>
      </x:c>
      <x:c r="N1000" s="9" t="str">
        <x:v>Live-action</x:v>
      </x:c>
      <x:c r="O1000" s="9" t="n">
        <x:v>3</x:v>
      </x:c>
      <x:c r="P1000" s="9" t="str">
        <x:v>Cutscenes only</x:v>
      </x:c>
      <x:c r="Q1000" s="9" t="str">
        <x:v>Released</x:v>
      </x:c>
      <x:c r="R1000" s="9" t="str">
        <x:v>Original production</x:v>
      </x:c>
      <x:c r="S1000" s="9"/>
      <x:c r="T1000" s="9" t="str">
        <x:v>Actors in filmed newscasts and scenario openings (names verify)</x:v>
      </x:c>
      <x:c r="U1000" s="9" t="n">
        <x:v>1</x:v>
      </x:c>
      <x:c r="V1000" s="9" t="str">
        <x:v>Yes</x:v>
      </x:c>
      <x:c r="W1000" s="9" t="str">
        <x:v>MS-DOS, 486, 8 MB RAM, 2x CD-ROM (verify)</x:v>
      </x:c>
      <x:c r="X1000" s="9" t="str">
        <x:v>Low</x:v>
      </x:c>
      <x:c r="Y1000" s="9" t="str"/>
      <x:c r="Z1000" s="9" t="str">
        <x:v>Open-ended</x:v>
      </x:c>
      <x:c r="AA1000" s="9" t="str">
        <x:v>SimCity with filmed news reports and disaster scenarios, a famous oddity of the first CD-ROM year.</x:v>
      </x:c>
      <x:c r="AB1000" s="9" t="str">
        <x:v>None known</x:v>
      </x:c>
      <x:c r="AC1000" s="9" t="str">
        <x:v>Live-action newscasts and scenario intros play over the classic SimCity</x:v>
      </x:c>
      <x:c r="AD1000" s="9" t="str">
        <x:v>Open-ended</x:v>
      </x:c>
      <x:c r="AE1000" s="9" t="str">
        <x:v>None</x:v>
      </x:c>
      <x:c r="AF1000" s="9" t="str">
        <x:v>Interplay's CD-ROM edition of the 1989 game; the footage is why it is remembered (verify).</x:v>
      </x:c>
      <x:c r="AG1000" s="9" t="str">
        <x:v>DOS CD-ROM</x:v>
      </x:c>
      <x:c r="AH1000" s="9" t="str">
        <x:v>No</x:v>
      </x:c>
      <x:c r="AI1000" s="9" t="str">
        <x:v>Easy</x:v>
      </x:c>
      <x:c r="AJ1000" s="9" t="str">
        <x:v>Original disc in DOSBox or a Windows 9x virtual machine; disc images circulate</x:v>
      </x:c>
      <x:c r="AK1000" s="9" t="str">
        <x:v>Cutscene title kept as a well-known curiosity; the same footage is why FMV World lists it.</x:v>
      </x:c>
      <x:c r="AL1000" s="10"/>
      <x:c r="AM1000" s="10"/>
      <x:c r="AN1000" s="10"/>
      <x:c r="AO1000" s="9"/>
      <x:c r="AP1000" s="11" t="str">
        <x:f>HYPERLINK("https://www.pricecharting.com/search-products?q=SimCity+Enhanced+CD-ROM+pc+games&amp;type=prices","PriceCharting")</x:f>
        <x:v>PriceCharting</x:v>
      </x:c>
      <x:c r="AQ1000" s="9"/>
      <x:c r="AR1000" s="9"/>
      <x:c r="AS1000" s="9"/>
      <x:c r="AT1000" s="9"/>
      <x:c r="AU1000" s="9" t="str">
        <x:v>No market</x:v>
      </x:c>
      <x:c r="AV1000" s="9" t="str">
        <x:v>Not sold on Steam or GOG (checked 2026-10-25) and no PriceCharting listing.</x:v>
      </x:c>
      <x:c r="AW1000" s="9"/>
      <x:c r="AX1000" s="9"/>
      <x:c r="AY1000" s="9"/>
      <x:c r="AZ1000" s="9"/>
      <x:c r="BA1000" s="11" t="str">
        <x:f>HYPERLINK("https://www.mobygames.com/search/?q=SimCity+Enhanced+CD-ROM","MobyGames")</x:f>
        <x:v>MobyGames</x:v>
      </x:c>
      <x:c r="BB1000" s="9" t="str"/>
      <x:c r="BC1000" s="9" t="str"/>
      <x:c r="BD1000" s="9"/>
      <x:c r="BE1000" s="9"/>
      <x:c r="BF1000" s="11" t="str">
        <x:f>HYPERLINK("https://backloggd.com/search/games/SimCity%20Enhanced%20CD-ROM/","Backloggd")</x:f>
        <x:v>Backloggd</x:v>
      </x:c>
      <x:c r="BG1000" s="9"/>
      <x:c r="BH1000" s="9"/>
      <x:c r="BI1000" s="12" t="str">
        <x:v>No</x:v>
      </x:c>
      <x:c r="BJ1000" s="12" t="str"/>
      <x:c r="BK1000" s="12" t="str">
        <x:v>No</x:v>
      </x:c>
      <x:c r="BL1000" s="12" t="str"/>
      <x:c r="BM1000" s="12" t="str"/>
      <x:c r="BN1000" s="12" t="str"/>
      <x:c r="BO1000" s="12" t="str"/>
      <x:c r="BP1000" s="12" t="str"/>
      <x:c r="BQ1000" s="12" t="str"/>
    </x:row>
    <x:row r="1001">
      <x:c r="A1001" s="9" t="str">
        <x:v>pc-320</x:v>
      </x:c>
      <x:c r="B1001" s="9" t="str">
        <x:v>zelenhgorm</x:v>
      </x:c>
      <x:c r="C1001" s="9" t="str">
        <x:v>PC</x:v>
      </x:c>
      <x:c r="D1001" s="9" t="str">
        <x:v>Zelenhgorm: Episode I – Land of the Blue Moon</x:v>
      </x:c>
      <x:c r="E1001" s="9" t="str"/>
      <x:c r="F1001" s="9" t="str">
        <x:v>Federation X Media Group</x:v>
      </x:c>
      <x:c r="G1001" s="9" t="str">
        <x:v>Federation X Media Group</x:v>
      </x:c>
      <x:c r="H1001" s="9" t="n">
        <x:v>2002</x:v>
      </x:c>
      <x:c r="I1001" s="9" t="str">
        <x:v>Yes</x:v>
      </x:c>
      <x:c r="J1001" s="9" t="str">
        <x:v>No</x:v>
      </x:c>
      <x:c r="K1001" s="9" t="str">
        <x:v>Yes</x:v>
      </x:c>
      <x:c r="L1001" s="9" t="str">
        <x:v>No</x:v>
      </x:c>
      <x:c r="M1001" s="9" t="str">
        <x:v>FMV adventure</x:v>
      </x:c>
      <x:c r="N1001" s="9" t="str">
        <x:v>Live-action</x:v>
      </x:c>
      <x:c r="O1001" s="9" t="n">
        <x:v>8</x:v>
      </x:c>
      <x:c r="P1001" s="9" t="str">
        <x:v>Interactive movie</x:v>
      </x:c>
      <x:c r="Q1001" s="9" t="str">
        <x:v>Released</x:v>
      </x:c>
      <x:c r="R1001" s="9" t="str">
        <x:v>Original production (Sweden)</x:v>
      </x:c>
      <x:c r="S1001" s="9"/>
      <x:c r="T1001" s="9" t="str">
        <x:v>Swedish cast with James Hong credited on MobyGames (verify)</x:v>
      </x:c>
      <x:c r="U1001" s="9" t="n">
        <x:v>2</x:v>
      </x:c>
      <x:c r="V1001" s="9" t="str">
        <x:v>Yes</x:v>
      </x:c>
      <x:c r="W1001" s="9" t="str">
        <x:v>Windows 98, Pentium II, 64 MB RAM (verify)</x:v>
      </x:c>
      <x:c r="X1001" s="9" t="str">
        <x:v>Low</x:v>
      </x:c>
      <x:c r="Y1001" s="9" t="str"/>
      <x:c r="Z1001" s="9" t="str">
        <x:v>4–6 hr</x:v>
      </x:c>
      <x:c r="AA1001" s="9" t="str">
        <x:v>A Swedish fantasy saga planned as several episodes and finished after one, played in filmed actors over painted worlds.</x:v>
      </x:c>
      <x:c r="AB1001" s="9" t="str">
        <x:v>None known</x:v>
      </x:c>
      <x:c r="AC1001" s="9" t="str">
        <x:v>Filmed actors over rendered and painted scenes</x:v>
      </x:c>
      <x:c r="AD1001" s="9" t="str">
        <x:v>Moderate</x:v>
      </x:c>
      <x:c r="AE1001" s="9" t="str">
        <x:v>One (episode)</x:v>
      </x:c>
      <x:c r="AF1001" s="9" t="str">
        <x:v>FMV World lists it under 1998; the release was 2002 in Sweden with an English version (verify). No further episodes.</x:v>
      </x:c>
      <x:c r="AG1001" s="9" t="str">
        <x:v>Episode I only</x:v>
      </x:c>
      <x:c r="AH1001" s="9" t="str">
        <x:v>No</x:v>
      </x:c>
      <x:c r="AI1001" s="9" t="str">
        <x:v>Easy</x:v>
      </x:c>
      <x:c r="AJ1001" s="9" t="str">
        <x:v>Original disc on Windows XP or a virtual machine</x:v>
      </x:c>
      <x:c r="AK1001" s="9"/>
      <x:c r="AL1001" s="10"/>
      <x:c r="AM1001" s="10"/>
      <x:c r="AN1001" s="10"/>
      <x:c r="AO1001" s="9"/>
      <x:c r="AP1001" s="11" t="str">
        <x:f>HYPERLINK("https://www.pricecharting.com/search-products?q=Zelenhgorm%3A+Episode+I+%E2%80%93+Land+of+the+Blue+Moon+pc+games&amp;type=prices","PriceCharting")</x:f>
        <x:v>PriceCharting</x:v>
      </x:c>
      <x:c r="AQ1001" s="9"/>
      <x:c r="AR1001" s="9"/>
      <x:c r="AS1001" s="9"/>
      <x:c r="AT1001" s="9"/>
      <x:c r="AU1001" s="9" t="str">
        <x:v>No market</x:v>
      </x:c>
      <x:c r="AV1001" s="9" t="str">
        <x:v>Not sold on Steam or GOG (checked 2026-10-25) and no PriceCharting listing.</x:v>
      </x:c>
      <x:c r="AW1001" s="9"/>
      <x:c r="AX1001" s="9"/>
      <x:c r="AY1001" s="9" t="str">
        <x:v>58%</x:v>
      </x:c>
      <x:c r="AZ1001" s="9" t="str">
        <x:v>3.2</x:v>
      </x:c>
      <x:c r="BA1001" s="11" t="str">
        <x:f>HYPERLINK("https://www.mobygames.com/game/windows/zelenhgorm-episode-i-land-of-the-blue-moon","MobyGames")</x:f>
        <x:v>MobyGames</x:v>
      </x:c>
      <x:c r="BB1001" s="9" t="str">
        <x:v>50%</x:v>
      </x:c>
      <x:c r="BC1001" s="9" t="str">
        <x:v>GameRankings, 1 review</x:v>
      </x:c>
      <x:c r="BD1001" s="9" t="str">
        <x:f>HYPERLINK("https://web.archive.org/web/20191209011641id_/https://www.gamerankings.com/pc/932760-zelenhgorm-episode-i-land-of-the-blue-moon/","Source")</x:f>
        <x:v>Source</x:v>
      </x:c>
      <x:c r="BE1001" s="9"/>
      <x:c r="BF1001" s="11" t="str">
        <x:f>HYPERLINK("https://backloggd.com/search/games/Zelenhgorm%3A%20Episode%20I%20%E2%80%93%20Land%20of%20the%20Blue%20Moon/","Backloggd")</x:f>
        <x:v>Backloggd</x:v>
      </x:c>
      <x:c r="BG1001" s="9"/>
      <x:c r="BH1001" s="9"/>
      <x:c r="BI1001" s="12" t="str">
        <x:v>No</x:v>
      </x:c>
      <x:c r="BJ1001" s="12" t="str"/>
      <x:c r="BK1001" s="12" t="str">
        <x:v>No</x:v>
      </x:c>
      <x:c r="BL1001" s="12" t="str"/>
      <x:c r="BM1001" s="12" t="str"/>
      <x:c r="BN1001" s="12" t="str"/>
      <x:c r="BO1001" s="12" t="str"/>
      <x:c r="BP1001" s="12" t="str"/>
      <x:c r="BQ1001" s="12" t="str"/>
    </x:row>
    <x:row r="1002">
      <x:c r="A1002" s="9" t="str">
        <x:v>pc-321</x:v>
      </x:c>
      <x:c r="B1002" s="9" t="str">
        <x:v>conspiracies</x:v>
      </x:c>
      <x:c r="C1002" s="9" t="str">
        <x:v>PC</x:v>
      </x:c>
      <x:c r="D1002" s="9" t="str">
        <x:v>Conspiracies</x:v>
      </x:c>
      <x:c r="E1002" s="9" t="str"/>
      <x:c r="F1002" s="9" t="str">
        <x:v>Anima Interactive</x:v>
      </x:c>
      <x:c r="G1002" s="9" t="str">
        <x:v>Anima Interactive; DreamCatcher (verify)</x:v>
      </x:c>
      <x:c r="H1002" s="9" t="n">
        <x:v>2003</x:v>
      </x:c>
      <x:c r="I1002" s="9" t="str">
        <x:v>Yes</x:v>
      </x:c>
      <x:c r="J1002" s="9" t="str">
        <x:v>No</x:v>
      </x:c>
      <x:c r="K1002" s="9" t="str">
        <x:v>Yes</x:v>
      </x:c>
      <x:c r="L1002" s="9" t="str">
        <x:v>No</x:v>
      </x:c>
      <x:c r="M1002" s="9" t="str">
        <x:v>Cyberpunk FMV adventure</x:v>
      </x:c>
      <x:c r="N1002" s="9" t="str">
        <x:v>Live-action</x:v>
      </x:c>
      <x:c r="O1002" s="9" t="n">
        <x:v>8</x:v>
      </x:c>
      <x:c r="P1002" s="9" t="str">
        <x:v>Interactive movie</x:v>
      </x:c>
      <x:c r="Q1002" s="9" t="str">
        <x:v>Released</x:v>
      </x:c>
      <x:c r="R1002" s="9" t="str">
        <x:v>Original production (Greece)</x:v>
      </x:c>
      <x:c r="S1002" s="9"/>
      <x:c r="T1002" s="9" t="str">
        <x:v>Greek cast (names verify)</x:v>
      </x:c>
      <x:c r="U1002" s="9" t="n">
        <x:v>2</x:v>
      </x:c>
      <x:c r="V1002" s="9" t="str">
        <x:v>Yes</x:v>
      </x:c>
      <x:c r="W1002" s="9" t="str">
        <x:v>Windows 98/XP, Pentium III, 128 MB RAM (verify)</x:v>
      </x:c>
      <x:c r="X1002" s="9" t="str">
        <x:v>Low</x:v>
      </x:c>
      <x:c r="Y1002" s="9" t="str"/>
      <x:c r="Z1002" s="9" t="str">
        <x:v>6–8 hr</x:v>
      </x:c>
      <x:c r="AA1002" s="9" t="str">
        <x:v>A Greek cyberpunk interactive movie released in English a decade after the genre died, with a 2011 sequel.</x:v>
      </x:c>
      <x:c r="AB1002" s="9" t="str">
        <x:v>None known</x:v>
      </x:c>
      <x:c r="AC1002" s="9" t="str">
        <x:v>Filmed actors over rendered futuristic Athens</x:v>
      </x:c>
      <x:c r="AD1002" s="9" t="str">
        <x:v>Moderate</x:v>
      </x:c>
      <x:c r="AE1002" s="9" t="str">
        <x:v>One</x:v>
      </x:c>
      <x:c r="AF1002" s="9" t="str">
        <x:v>Sequel Conspiracies II: Lethal Networks (2011). Facts verify.</x:v>
      </x:c>
      <x:c r="AG1002" s="9" t="str">
        <x:v>Conspiracies (2003); Conspiracies II: Lethal Networks (2011)</x:v>
      </x:c>
      <x:c r="AH1002" s="9" t="str">
        <x:v>No</x:v>
      </x:c>
      <x:c r="AI1002" s="9" t="str">
        <x:v>Easy</x:v>
      </x:c>
      <x:c r="AJ1002" s="9" t="str">
        <x:v>Original disc on Windows XP or a virtual machine</x:v>
      </x:c>
      <x:c r="AK1002" s="9"/>
      <x:c r="AL1002" s="10"/>
      <x:c r="AM1002" s="10"/>
      <x:c r="AN1002" s="10"/>
      <x:c r="AO1002" s="9"/>
      <x:c r="AP1002" s="11" t="str">
        <x:f>HYPERLINK("https://www.pricecharting.com/search-products?q=Conspiracies+pc+games&amp;type=prices","PriceCharting")</x:f>
        <x:v>PriceCharting</x:v>
      </x:c>
      <x:c r="AQ1002" s="9"/>
      <x:c r="AR1002" s="9"/>
      <x:c r="AS1002" s="9"/>
      <x:c r="AT1002" s="9"/>
      <x:c r="AU1002" s="9" t="str">
        <x:v>No market</x:v>
      </x:c>
      <x:c r="AV1002" s="9" t="str">
        <x:v>Not sold on Steam or GOG (checked 2026-10-25) and no PriceCharting listing.</x:v>
      </x:c>
      <x:c r="AW1002" s="9"/>
      <x:c r="AX1002" s="9"/>
      <x:c r="AY1002" s="9"/>
      <x:c r="AZ1002" s="9"/>
      <x:c r="BA1002" s="11" t="str">
        <x:f>HYPERLINK("https://www.mobygames.com/search/?q=Conspiracies","MobyGames")</x:f>
        <x:v>MobyGames</x:v>
      </x:c>
      <x:c r="BB1002" s="9" t="str">
        <x:v>58%</x:v>
      </x:c>
      <x:c r="BC1002" s="9" t="str">
        <x:v>GameRankings, 15 reviews</x:v>
      </x:c>
      <x:c r="BD1002" s="9" t="str">
        <x:f>HYPERLINK("https://web.archive.org/web/20191209012655id_/https://www.gamerankings.com/pc/918797-conspiracies/","Source")</x:f>
        <x:v>Source</x:v>
      </x:c>
      <x:c r="BE1002" s="9"/>
      <x:c r="BF1002" s="11" t="str">
        <x:f>HYPERLINK("https://backloggd.com/search/games/Conspiracies/","Backloggd")</x:f>
        <x:v>Backloggd</x:v>
      </x:c>
      <x:c r="BG1002" s="9"/>
      <x:c r="BH1002" s="9"/>
      <x:c r="BI1002" s="12" t="str">
        <x:v>No</x:v>
      </x:c>
      <x:c r="BJ1002" s="12" t="str"/>
      <x:c r="BK1002" s="12" t="str">
        <x:v>No</x:v>
      </x:c>
      <x:c r="BL1002" s="12" t="str"/>
      <x:c r="BM1002" s="12" t="str"/>
      <x:c r="BN1002" s="12" t="str"/>
      <x:c r="BO1002" s="12" t="str"/>
      <x:c r="BP1002" s="12" t="str"/>
      <x:c r="BQ1002" s="12" t="str"/>
    </x:row>
    <x:row r="1003">
      <x:c r="A1003" s="9" t="str">
        <x:v>pc-322</x:v>
      </x:c>
      <x:c r="B1003" s="9" t="str">
        <x:v>evidence-the-last-ritual</x:v>
      </x:c>
      <x:c r="C1003" s="9" t="str">
        <x:v>PC</x:v>
      </x:c>
      <x:c r="D1003" s="9" t="str">
        <x:v>Evidence: The Last Ritual</x:v>
      </x:c>
      <x:c r="E1003" s="9" t="str">
        <x:v>In Memoriam 2</x:v>
      </x:c>
      <x:c r="F1003" s="9" t="str">
        <x:v>Lexis Numérique</x:v>
      </x:c>
      <x:c r="G1003" s="9" t="str">
        <x:v>The Adventure Company</x:v>
      </x:c>
      <x:c r="H1003" s="9" t="n">
        <x:v>2006</x:v>
      </x:c>
      <x:c r="I1003" s="9" t="str">
        <x:v>Yes</x:v>
      </x:c>
      <x:c r="J1003" s="9" t="str">
        <x:v>No</x:v>
      </x:c>
      <x:c r="K1003" s="9" t="str">
        <x:v>Yes</x:v>
      </x:c>
      <x:c r="L1003" s="9" t="str">
        <x:v>No</x:v>
      </x:c>
      <x:c r="M1003" s="9" t="str">
        <x:v>Alternate-reality investigation</x:v>
      </x:c>
      <x:c r="N1003" s="9" t="str">
        <x:v>Live-action</x:v>
      </x:c>
      <x:c r="O1003" s="9" t="n">
        <x:v>5</x:v>
      </x:c>
      <x:c r="P1003" s="9" t="str">
        <x:v>FMV adventure</x:v>
      </x:c>
      <x:c r="Q1003" s="9" t="str">
        <x:v>Released</x:v>
      </x:c>
      <x:c r="R1003" s="9" t="str">
        <x:v>Original production (France)</x:v>
      </x:c>
      <x:c r="S1003" s="9"/>
      <x:c r="T1003" s="9" t="str">
        <x:v>Filmed clips of the Phoenix killer's victims and witnesses (names verify)</x:v>
      </x:c>
      <x:c r="U1003" s="9" t="n">
        <x:v>1</x:v>
      </x:c>
      <x:c r="V1003" s="9" t="str">
        <x:v>Yes</x:v>
      </x:c>
      <x:c r="W1003" s="9" t="str">
        <x:v>Windows XP, internet connection for the e-mails (verify)</x:v>
      </x:c>
      <x:c r="X1003" s="9" t="str">
        <x:v>Low</x:v>
      </x:c>
      <x:c r="Y1003" s="9" t="str"/>
      <x:c r="Z1003" s="9" t="str">
        <x:v>15–20 hr</x:v>
      </x:c>
      <x:c r="AA1003" s="9" t="str">
        <x:v>The sequel to In Memoriam: decode the Phoenix's filmed puzzle discs while real-looking e-mails arrive in your inbox.</x:v>
      </x:c>
      <x:c r="AB1003" s="9" t="str">
        <x:v>None known</x:v>
      </x:c>
      <x:c r="AC1003" s="9" t="str">
        <x:v>Filmed clips embedded in the killer's puzzle discs and fake web sites</x:v>
      </x:c>
      <x:c r="AD1003" s="9" t="str">
        <x:v>Hard; cryptic puzzles</x:v>
      </x:c>
      <x:c r="AE1003" s="9" t="str">
        <x:v>One</x:v>
      </x:c>
      <x:c r="AF1003" s="9" t="str">
        <x:v>The e-mail servers are gone, so the game needs a fan fix (verify). In Memoriam is pc-219.</x:v>
      </x:c>
      <x:c r="AG1003" s="9" t="str">
        <x:v>Windows CD-ROM; Mac (verify)</x:v>
      </x:c>
      <x:c r="AH1003" s="9" t="str">
        <x:v>No</x:v>
      </x:c>
      <x:c r="AI1003" s="9" t="str">
        <x:v>Emulation only</x:v>
      </x:c>
      <x:c r="AJ1003" s="9" t="str">
        <x:v>Original disc with the community e-mail fix (verify)</x:v>
      </x:c>
      <x:c r="AK1003" s="9"/>
      <x:c r="AL1003" s="10"/>
      <x:c r="AM1003" s="10"/>
      <x:c r="AN1003" s="10"/>
      <x:c r="AO1003" s="9"/>
      <x:c r="AP1003" s="11" t="str">
        <x:f>HYPERLINK("https://www.pricecharting.com/search-products?q=Evidence%3A+The+Last+Ritual+pc+games&amp;type=prices","PriceCharting")</x:f>
        <x:v>PriceCharting</x:v>
      </x:c>
      <x:c r="AQ1003" s="9"/>
      <x:c r="AR1003" s="9"/>
      <x:c r="AS1003" s="9"/>
      <x:c r="AT1003" s="9"/>
      <x:c r="AU1003" s="9" t="str">
        <x:v>No market</x:v>
      </x:c>
      <x:c r="AV1003" s="9" t="str">
        <x:v>Not sold on Steam or GOG (checked 2026-10-25) and no PriceCharting listing.</x:v>
      </x:c>
      <x:c r="AW1003" s="9"/>
      <x:c r="AX1003" s="9"/>
      <x:c r="AY1003" s="9"/>
      <x:c r="AZ1003" s="9"/>
      <x:c r="BA1003" s="11" t="str">
        <x:f>HYPERLINK("https://www.mobygames.com/search/?q=Evidence%3A+The+Last+Ritual","MobyGames")</x:f>
        <x:v>MobyGames</x:v>
      </x:c>
      <x:c r="BB1003" s="9" t="str">
        <x:v>79%</x:v>
      </x:c>
      <x:c r="BC1003" s="9" t="str">
        <x:v>GameRankings, 17 reviews</x:v>
      </x:c>
      <x:c r="BD1003" s="9" t="str">
        <x:f>HYPERLINK("https://web.archive.org/web/20191209015647id_/https://www.gamerankings.com/pc/932625-evidence-the-last-ritual/","Source")</x:f>
        <x:v>Source</x:v>
      </x:c>
      <x:c r="BE1003" s="11" t="str">
        <x:f>HYPERLINK("https://en.wikipedia.org/wiki/Evidence:_The_Last_Ritual","Wikipedia")</x:f>
        <x:v>Wikipedia</x:v>
      </x:c>
      <x:c r="BF1003" s="11" t="str">
        <x:f>HYPERLINK("https://backloggd.com/search/games/Evidence%3A%20The%20Last%20Ritual/","Backloggd")</x:f>
        <x:v>Backloggd</x:v>
      </x:c>
      <x:c r="BG1003" s="9"/>
      <x:c r="BH1003" s="9"/>
      <x:c r="BI1003" s="12" t="str">
        <x:v>No</x:v>
      </x:c>
      <x:c r="BJ1003" s="12" t="str"/>
      <x:c r="BK1003" s="12" t="str">
        <x:v>No</x:v>
      </x:c>
      <x:c r="BL1003" s="12" t="str"/>
      <x:c r="BM1003" s="12" t="str"/>
      <x:c r="BN1003" s="12" t="str"/>
      <x:c r="BO1003" s="12" t="str"/>
      <x:c r="BP1003" s="12" t="str"/>
      <x:c r="BQ1003" s="12" t="str"/>
    </x:row>
    <x:row r="1004">
      <x:c r="A1004" s="9" t="str">
        <x:v>pc-323</x:v>
      </x:c>
      <x:c r="B1004" s="9" t="str">
        <x:v>yoomurjaks-ring</x:v>
      </x:c>
      <x:c r="C1004" s="9" t="str">
        <x:v>PC</x:v>
      </x:c>
      <x:c r="D1004" s="9" t="str">
        <x:v>Yoomurjak's Ring</x:v>
      </x:c>
      <x:c r="E1004" s="9" t="str">
        <x:v>Jumurdzsák gyűrűje</x:v>
      </x:c>
      <x:c r="F1004" s="9" t="str">
        <x:v>Private Moon Studios</x:v>
      </x:c>
      <x:c r="G1004" s="9" t="str">
        <x:v>Private Moon Studios</x:v>
      </x:c>
      <x:c r="H1004" s="9" t="n">
        <x:v>2006</x:v>
      </x:c>
      <x:c r="I1004" s="9" t="str">
        <x:v>Yes</x:v>
      </x:c>
      <x:c r="J1004" s="9" t="str">
        <x:v>No</x:v>
      </x:c>
      <x:c r="K1004" s="9" t="str">
        <x:v>Yes</x:v>
      </x:c>
      <x:c r="L1004" s="9" t="str">
        <x:v>No</x:v>
      </x:c>
      <x:c r="M1004" s="9" t="str">
        <x:v>FMV adventure</x:v>
      </x:c>
      <x:c r="N1004" s="9" t="str">
        <x:v>Live-action</x:v>
      </x:c>
      <x:c r="O1004" s="9" t="n">
        <x:v>8</x:v>
      </x:c>
      <x:c r="P1004" s="9" t="str">
        <x:v>Interactive movie</x:v>
      </x:c>
      <x:c r="Q1004" s="9" t="str">
        <x:v>Released</x:v>
      </x:c>
      <x:c r="R1004" s="9" t="str">
        <x:v>Original production (Hungary)</x:v>
      </x:c>
      <x:c r="S1004" s="9"/>
      <x:c r="T1004" s="9" t="str">
        <x:v>Hungarian cast (names verify)</x:v>
      </x:c>
      <x:c r="U1004" s="9" t="n">
        <x:v>1</x:v>
      </x:c>
      <x:c r="V1004" s="9" t="str">
        <x:v>Yes</x:v>
      </x:c>
      <x:c r="W1004" s="9" t="str">
        <x:v>Windows XP (verify)</x:v>
      </x:c>
      <x:c r="X1004" s="9" t="str">
        <x:v>Low</x:v>
      </x:c>
      <x:c r="Y1004" s="9" t="str"/>
      <x:c r="Z1004" s="9" t="str">
        <x:v>6–8 hr</x:v>
      </x:c>
      <x:c r="AA1004" s="9" t="str">
        <x:v>A Hungarian time-travel mystery in Eger told in filmed actors and photographed streets, released in English in 2009.</x:v>
      </x:c>
      <x:c r="AB1004" s="9" t="str">
        <x:v>None known</x:v>
      </x:c>
      <x:c r="AC1004" s="9" t="str">
        <x:v>Filmed actors in photographed real locations</x:v>
      </x:c>
      <x:c r="AD1004" s="9" t="str">
        <x:v>Moderate</x:v>
      </x:c>
      <x:c r="AE1004" s="9" t="str">
        <x:v>One</x:v>
      </x:c>
      <x:c r="AF1004" s="9" t="str">
        <x:v>English release 2009; Steam later (verify). Sequel MIAZMA (2015).</x:v>
      </x:c>
      <x:c r="AG1004" s="9" t="str">
        <x:v>Hungarian 2006; English 2009; Steam</x:v>
      </x:c>
      <x:c r="AH1004" s="9" t="str">
        <x:v>Yes (Steam; verify)</x:v>
      </x:c>
      <x:c r="AI1004" s="9" t="str">
        <x:v>Easy</x:v>
      </x:c>
      <x:c r="AJ1004" s="9" t="str">
        <x:v>Steam</x:v>
      </x:c>
      <x:c r="AK1004" s="9"/>
      <x:c r="AL1004" s="10"/>
      <x:c r="AM1004" s="10"/>
      <x:c r="AN1004" s="10"/>
      <x:c r="AO1004" s="9"/>
      <x:c r="AP1004" s="11" t="str">
        <x:f>HYPERLINK("https://www.pricecharting.com/search-products?q=Yoomurjak%27s+Ring+pc+games&amp;type=prices","PriceCharting")</x:f>
        <x:v>PriceCharting</x:v>
      </x:c>
      <x:c r="AQ1004" s="9" t="n">
        <x:v>9.99</x:v>
      </x:c>
      <x:c r="AR1004" s="11" t="str">
        <x:v>Steam</x:v>
      </x:c>
      <x:c r="AS1004" s="9" t="str">
        <x:f>HYPERLINK("https://store.steampowered.com/app/774151/","Store")</x:f>
        <x:v>Store</x:v>
      </x:c>
      <x:c r="AT1004" s="9" t="str">
        <x:v>2026-10-25</x:v>
      </x:c>
      <x:c r="AU1004" s="9"/>
      <x:c r="AV1004" s="9"/>
      <x:c r="AW1004" s="9"/>
      <x:c r="AX1004" s="9"/>
      <x:c r="AY1004" s="9"/>
      <x:c r="AZ1004" s="9" t="str">
        <x:v>4.1</x:v>
      </x:c>
      <x:c r="BA1004" s="11" t="str">
        <x:f>HYPERLINK("https://www.mobygames.com/game/windows/yoomurjaks-ring","MobyGames")</x:f>
        <x:v>MobyGames</x:v>
      </x:c>
      <x:c r="BB1004" s="9" t="str"/>
      <x:c r="BC1004" s="9" t="str"/>
      <x:c r="BD1004" s="9"/>
      <x:c r="BE1004" s="9"/>
      <x:c r="BF1004" s="11" t="str">
        <x:f>HYPERLINK("https://backloggd.com/search/games/Yoomurjak%27s%20Ring/","Backloggd")</x:f>
        <x:v>Backloggd</x:v>
      </x:c>
      <x:c r="BG1004" s="9"/>
      <x:c r="BH1004" s="9"/>
      <x:c r="BI1004" s="12" t="str">
        <x:v>No</x:v>
      </x:c>
      <x:c r="BJ1004" s="12" t="str"/>
      <x:c r="BK1004" s="12" t="str">
        <x:v>No</x:v>
      </x:c>
      <x:c r="BL1004" s="12" t="str"/>
      <x:c r="BM1004" s="12" t="str"/>
      <x:c r="BN1004" s="12" t="str"/>
      <x:c r="BO1004" s="12" t="str"/>
      <x:c r="BP1004" s="12" t="str"/>
      <x:c r="BQ1004" s="12" t="str"/>
    </x:row>
    <x:row r="1005">
      <x:c r="A1005" s="9" t="str">
        <x:v>pc-324</x:v>
      </x:c>
      <x:c r="B1005" s="9" t="str">
        <x:v>miazma-or-the-devils-stone</x:v>
      </x:c>
      <x:c r="C1005" s="9" t="str">
        <x:v>PC</x:v>
      </x:c>
      <x:c r="D1005" s="9" t="str">
        <x:v>MIAZMA or the Devil's Stone</x:v>
      </x:c>
      <x:c r="E1005" s="9" t="str"/>
      <x:c r="F1005" s="9" t="str">
        <x:v>Private Moon Studios</x:v>
      </x:c>
      <x:c r="G1005" s="9" t="str">
        <x:v>Private Moon Studios</x:v>
      </x:c>
      <x:c r="H1005" s="9" t="n">
        <x:v>2015</x:v>
      </x:c>
      <x:c r="I1005" s="9" t="str">
        <x:v>Yes</x:v>
      </x:c>
      <x:c r="J1005" s="9" t="str">
        <x:v>No</x:v>
      </x:c>
      <x:c r="K1005" s="9" t="str">
        <x:v>Yes</x:v>
      </x:c>
      <x:c r="L1005" s="9" t="str">
        <x:v>No</x:v>
      </x:c>
      <x:c r="M1005" s="9" t="str">
        <x:v>FMV adventure</x:v>
      </x:c>
      <x:c r="N1005" s="9" t="str">
        <x:v>Live-action</x:v>
      </x:c>
      <x:c r="O1005" s="9" t="n">
        <x:v>8</x:v>
      </x:c>
      <x:c r="P1005" s="9" t="str">
        <x:v>Interactive movie</x:v>
      </x:c>
      <x:c r="Q1005" s="9" t="str">
        <x:v>Released</x:v>
      </x:c>
      <x:c r="R1005" s="9" t="str">
        <x:v>Original production (Hungary)</x:v>
      </x:c>
      <x:c r="S1005" s="9"/>
      <x:c r="T1005" s="9" t="str">
        <x:v>Hungarian cast (names verify)</x:v>
      </x:c>
      <x:c r="U1005" s="9" t="n">
        <x:v>0</x:v>
      </x:c>
      <x:c r="V1005" s="9" t="str">
        <x:v>Yes</x:v>
      </x:c>
      <x:c r="W1005" s="9" t="str">
        <x:v>Windows 7 (verify)</x:v>
      </x:c>
      <x:c r="X1005" s="9" t="str">
        <x:v>Low</x:v>
      </x:c>
      <x:c r="Y1005" s="9" t="str"/>
      <x:c r="Z1005" s="9" t="str">
        <x:v>6–8 hr</x:v>
      </x:c>
      <x:c r="AA1005" s="9" t="str">
        <x:v>Private Moon's second filmed mystery, a 4K-shot sequel to Yoomurjak's Ring with English subtitles.</x:v>
      </x:c>
      <x:c r="AB1005" s="9" t="str">
        <x:v>None known</x:v>
      </x:c>
      <x:c r="AC1005" s="9" t="str">
        <x:v>Filmed actors in real locations, shot in 4K</x:v>
      </x:c>
      <x:c r="AD1005" s="9" t="str">
        <x:v>Moderate</x:v>
      </x:c>
      <x:c r="AE1005" s="9" t="str">
        <x:v>One</x:v>
      </x:c>
      <x:c r="AF1005" s="9" t="str">
        <x:v>Facts verify.</x:v>
      </x:c>
      <x:c r="AG1005" s="9" t="str">
        <x:v>Steam</x:v>
      </x:c>
      <x:c r="AH1005" s="9" t="str">
        <x:v>Yes (Steam)</x:v>
      </x:c>
      <x:c r="AI1005" s="9" t="str">
        <x:v>Easy</x:v>
      </x:c>
      <x:c r="AJ1005" s="9" t="str">
        <x:v>Steam</x:v>
      </x:c>
      <x:c r="AK1005" s="9"/>
      <x:c r="AL1005" s="10"/>
      <x:c r="AM1005" s="10"/>
      <x:c r="AN1005" s="10"/>
      <x:c r="AO1005" s="9"/>
      <x:c r="AP1005" s="11" t="str">
        <x:f>HYPERLINK("https://www.pricecharting.com/search-products?q=MIAZMA+or+the+Devil%27s+Stone+pc+games&amp;type=prices","PriceCharting")</x:f>
        <x:v>PriceCharting</x:v>
      </x:c>
      <x:c r="AQ1005" s="9" t="n">
        <x:v>9.99</x:v>
      </x:c>
      <x:c r="AR1005" s="11" t="str">
        <x:v>Steam</x:v>
      </x:c>
      <x:c r="AS1005" s="9" t="str">
        <x:f>HYPERLINK("https://store.steampowered.com/app/774141/","Store")</x:f>
        <x:v>Store</x:v>
      </x:c>
      <x:c r="AT1005" s="9" t="str">
        <x:v>2026-10-25</x:v>
      </x:c>
      <x:c r="AU1005" s="9"/>
      <x:c r="AV1005" s="9"/>
      <x:c r="AW1005" s="9"/>
      <x:c r="AX1005" s="9"/>
      <x:c r="AY1005" s="9"/>
      <x:c r="AZ1005" s="9"/>
      <x:c r="BA1005" s="11" t="str">
        <x:f>HYPERLINK("https://www.mobygames.com/search/?q=MIAZMA+or+the+Devil%27s+Stone","MobyGames")</x:f>
        <x:v>MobyGames</x:v>
      </x:c>
      <x:c r="BB1005" s="9" t="str">
        <x:v>70%</x:v>
      </x:c>
      <x:c r="BC1005" s="9" t="str">
        <x:v>GameRankings, 1 review</x:v>
      </x:c>
      <x:c r="BD1005" s="9" t="str">
        <x:f>HYPERLINK("https://web.archive.org/web/20191209012705id_/https://www.gamerankings.com/pc/237106-miazma-or-the-devils-stone/","Source")</x:f>
        <x:v>Source</x:v>
      </x:c>
      <x:c r="BE1005" s="9"/>
      <x:c r="BF1005" s="11" t="str">
        <x:f>HYPERLINK("https://backloggd.com/search/games/MIAZMA%20or%20the%20Devil%27s%20Stone/","Backloggd")</x:f>
        <x:v>Backloggd</x:v>
      </x:c>
      <x:c r="BG1005" s="9"/>
      <x:c r="BH1005" s="9"/>
      <x:c r="BI1005" s="12" t="str">
        <x:v>No</x:v>
      </x:c>
      <x:c r="BJ1005" s="12" t="str"/>
      <x:c r="BK1005" s="12" t="str">
        <x:v>No</x:v>
      </x:c>
      <x:c r="BL1005" s="12" t="str"/>
      <x:c r="BM1005" s="12" t="str"/>
      <x:c r="BN1005" s="12" t="str"/>
      <x:c r="BO1005" s="12" t="str"/>
      <x:c r="BP1005" s="12" t="str"/>
      <x:c r="BQ1005" s="12" t="str"/>
    </x:row>
    <x:row r="1006">
      <x:c r="A1006" s="9" t="str">
        <x:v>pc-325</x:v>
      </x:c>
      <x:c r="B1006" s="9" t="str">
        <x:v>casebook</x:v>
      </x:c>
      <x:c r="C1006" s="9" t="str">
        <x:v>PC</x:v>
      </x:c>
      <x:c r="D1006" s="9" t="str">
        <x:v>Casebook</x:v>
      </x:c>
      <x:c r="E1006" s="9" t="str"/>
      <x:c r="F1006" s="9" t="str">
        <x:v>Areograph</x:v>
      </x:c>
      <x:c r="G1006" s="9" t="str">
        <x:v>Areograph</x:v>
      </x:c>
      <x:c r="H1006" s="9" t="n">
        <x:v>2008</x:v>
      </x:c>
      <x:c r="I1006" s="9" t="str">
        <x:v>Yes</x:v>
      </x:c>
      <x:c r="J1006" s="9" t="str">
        <x:v>No</x:v>
      </x:c>
      <x:c r="K1006" s="9" t="str">
        <x:v>Yes</x:v>
      </x:c>
      <x:c r="L1006" s="9" t="str">
        <x:v>No</x:v>
      </x:c>
      <x:c r="M1006" s="9" t="str">
        <x:v>Episodic FMV detective adventure</x:v>
      </x:c>
      <x:c r="N1006" s="9" t="str">
        <x:v>Live-action</x:v>
      </x:c>
      <x:c r="O1006" s="9" t="n">
        <x:v>9</x:v>
      </x:c>
      <x:c r="P1006" s="9" t="str">
        <x:v>Interactive movie</x:v>
      </x:c>
      <x:c r="Q1006" s="9" t="str">
        <x:v>Released</x:v>
      </x:c>
      <x:c r="R1006" s="9" t="str">
        <x:v>Original production (New Zealand)</x:v>
      </x:c>
      <x:c r="S1006" s="9"/>
      <x:c r="T1006" s="9" t="str">
        <x:v>New Zealand cast as Detective James Burton and partner (names verify)</x:v>
      </x:c>
      <x:c r="U1006" s="9" t="n">
        <x:v>0</x:v>
      </x:c>
      <x:c r="V1006" s="9" t="str">
        <x:v>Yes</x:v>
      </x:c>
      <x:c r="W1006" s="9" t="str">
        <x:v>Windows XP; Mac OS X (verify)</x:v>
      </x:c>
      <x:c r="X1006" s="9" t="str">
        <x:v>Low</x:v>
      </x:c>
      <x:c r="Y1006" s="9" t="str"/>
      <x:c r="Z1006" s="9" t="str">
        <x:v>2–3 hr per episode</x:v>
      </x:c>
      <x:c r="AA1006" s="9" t="str">
        <x:v>Filmed crime scenes you walk through as stitched video panoramas, three episodes and a free prologue from a New Zealand studio.</x:v>
      </x:c>
      <x:c r="AB1006" s="9" t="str">
        <x:v>None known</x:v>
      </x:c>
      <x:c r="AC1006" s="9" t="str">
        <x:v>360-degree filmed scenes with evidence to collect and lab work between</x:v>
      </x:c>
      <x:c r="AD1006" s="9" t="str">
        <x:v>Moderate</x:v>
      </x:c>
      <x:c r="AE1006" s="9" t="str">
        <x:v>One per episode</x:v>
      </x:c>
      <x:c r="AF1006" s="9" t="str">
        <x:v>Episode I: Kidnapped (2008), Episode II: The Watcher (2009), Episode III: Snake in the Grass (2009), Episode 0: The Missing Urn (free, 2009). Sold on Steam (verify current).</x:v>
      </x:c>
      <x:c r="AG1006" s="9" t="str">
        <x:v>Episodes 0–III</x:v>
      </x:c>
      <x:c r="AH1006" s="9" t="str">
        <x:v>Yes (Steam; verify)</x:v>
      </x:c>
      <x:c r="AI1006" s="9" t="str">
        <x:v>Easy</x:v>
      </x:c>
      <x:c r="AJ1006" s="9" t="str">
        <x:v>Steam</x:v>
      </x:c>
      <x:c r="AK1006" s="9"/>
      <x:c r="AL1006" s="10"/>
      <x:c r="AM1006" s="10"/>
      <x:c r="AN1006" s="10"/>
      <x:c r="AO1006" s="9"/>
      <x:c r="AP1006" s="11" t="str">
        <x:f>HYPERLINK("https://www.pricecharting.com/search-products?q=Casebook+pc+games&amp;type=prices","PriceCharting")</x:f>
        <x:v>PriceCharting</x:v>
      </x:c>
      <x:c r="AQ1006" s="9"/>
      <x:c r="AR1006" s="9"/>
      <x:c r="AS1006" s="9"/>
      <x:c r="AT1006" s="9"/>
      <x:c r="AU1006" s="9" t="str">
        <x:v>No market</x:v>
      </x:c>
      <x:c r="AV1006" s="9" t="str">
        <x:v>Not sold on Steam or GOG (checked 2026-10-25) and no PriceCharting listing.</x:v>
      </x:c>
      <x:c r="AW1006" s="9"/>
      <x:c r="AX1006" s="9"/>
      <x:c r="AY1006" s="9"/>
      <x:c r="AZ1006" s="9"/>
      <x:c r="BA1006" s="11" t="str">
        <x:f>HYPERLINK("https://www.mobygames.com/search/?q=Casebook","MobyGames")</x:f>
        <x:v>MobyGames</x:v>
      </x:c>
      <x:c r="BB1006" s="9" t="str"/>
      <x:c r="BC1006" s="9" t="str"/>
      <x:c r="BD1006" s="9"/>
      <x:c r="BE1006" s="11" t="str">
        <x:f>HYPERLINK("https://en.wikipedia.org/wiki/Casebook_(video_game)","Wikipedia")</x:f>
        <x:v>Wikipedia</x:v>
      </x:c>
      <x:c r="BF1006" s="11" t="str">
        <x:f>HYPERLINK("https://backloggd.com/search/games/Casebook/","Backloggd")</x:f>
        <x:v>Backloggd</x:v>
      </x:c>
      <x:c r="BG1006" s="9"/>
      <x:c r="BH1006" s="9"/>
      <x:c r="BI1006" s="12" t="str">
        <x:v>No</x:v>
      </x:c>
      <x:c r="BJ1006" s="12" t="str"/>
      <x:c r="BK1006" s="12" t="str">
        <x:v>No</x:v>
      </x:c>
      <x:c r="BL1006" s="12" t="str"/>
      <x:c r="BM1006" s="12" t="str"/>
      <x:c r="BN1006" s="12" t="str"/>
      <x:c r="BO1006" s="12" t="str"/>
      <x:c r="BP1006" s="12" t="str"/>
      <x:c r="BQ1006" s="12" t="str"/>
    </x:row>
    <x:row r="1007">
      <x:c r="A1007" s="9" t="str">
        <x:v>pc-326</x:v>
      </x:c>
      <x:c r="B1007" s="9" t="str">
        <x:v>fate-by-numbers</x:v>
      </x:c>
      <x:c r="C1007" s="9" t="str">
        <x:v>PC</x:v>
      </x:c>
      <x:c r="D1007" s="9" t="str">
        <x:v>Fate by Numbers</x:v>
      </x:c>
      <x:c r="E1007" s="9" t="str"/>
      <x:c r="F1007" s="9" t="str">
        <x:v>Revival Productions (verify)</x:v>
      </x:c>
      <x:c r="G1007" s="9" t="str">
        <x:v>Self-published (free)</x:v>
      </x:c>
      <x:c r="H1007" s="9" t="n">
        <x:v>2007</x:v>
      </x:c>
      <x:c r="I1007" s="9" t="str">
        <x:v>Yes</x:v>
      </x:c>
      <x:c r="J1007" s="9" t="str">
        <x:v>No</x:v>
      </x:c>
      <x:c r="K1007" s="9" t="str">
        <x:v>Yes</x:v>
      </x:c>
      <x:c r="L1007" s="9" t="str">
        <x:v>No</x:v>
      </x:c>
      <x:c r="M1007" s="9" t="str">
        <x:v>Film-noir FMV adventure</x:v>
      </x:c>
      <x:c r="N1007" s="9" t="str">
        <x:v>Live-action</x:v>
      </x:c>
      <x:c r="O1007" s="9" t="n">
        <x:v>9</x:v>
      </x:c>
      <x:c r="P1007" s="9" t="str">
        <x:v>Interactive movie</x:v>
      </x:c>
      <x:c r="Q1007" s="9" t="str">
        <x:v>Released</x:v>
      </x:c>
      <x:c r="R1007" s="9" t="str">
        <x:v>Original production</x:v>
      </x:c>
      <x:c r="S1007" s="9"/>
      <x:c r="T1007" s="9" t="str">
        <x:v>Amateur cast (names verify)</x:v>
      </x:c>
      <x:c r="U1007" s="9" t="n">
        <x:v>0</x:v>
      </x:c>
      <x:c r="V1007" s="9" t="str">
        <x:v>Yes</x:v>
      </x:c>
      <x:c r="W1007" s="9" t="str">
        <x:v>Windows XP (verify)</x:v>
      </x:c>
      <x:c r="X1007" s="9" t="str">
        <x:v>Low</x:v>
      </x:c>
      <x:c r="Y1007" s="9" t="str"/>
      <x:c r="Z1007" s="9" t="str">
        <x:v>1–2 hr</x:v>
      </x:c>
      <x:c r="AA1007" s="9" t="str">
        <x:v>A free noir interactive movie from 2007, one of the few filmed games made between the CD-ROM bust and Her Story.</x:v>
      </x:c>
      <x:c r="AB1007" s="9" t="str">
        <x:v>None known</x:v>
      </x:c>
      <x:c r="AC1007" s="9" t="str">
        <x:v>Filmed black-and-white scenes with point-and-click choices</x:v>
      </x:c>
      <x:c r="AD1007" s="9" t="str">
        <x:v>Easy</x:v>
      </x:c>
      <x:c r="AE1007" s="9" t="str">
        <x:v>One</x:v>
      </x:c>
      <x:c r="AF1007" s="9" t="str">
        <x:v>Freeware; facts verify.</x:v>
      </x:c>
      <x:c r="AG1007" s="9" t="str">
        <x:v>Free download</x:v>
      </x:c>
      <x:c r="AH1007" s="9" t="str">
        <x:v>Yes (free download, verify)</x:v>
      </x:c>
      <x:c r="AI1007" s="9" t="str">
        <x:v>Easy</x:v>
      </x:c>
      <x:c r="AJ1007" s="9" t="str">
        <x:v>Free download</x:v>
      </x:c>
      <x:c r="AK1007" s="9"/>
      <x:c r="AL1007" s="10"/>
      <x:c r="AM1007" s="10"/>
      <x:c r="AN1007" s="10"/>
      <x:c r="AO1007" s="9"/>
      <x:c r="AP1007" s="11" t="str">
        <x:f>HYPERLINK("https://www.pricecharting.com/search-products?q=Fate+by+Numbers+pc+games&amp;type=prices","PriceCharting")</x:f>
        <x:v>PriceCharting</x:v>
      </x:c>
      <x:c r="AQ1007" s="9"/>
      <x:c r="AR1007" s="9"/>
      <x:c r="AS1007" s="9"/>
      <x:c r="AT1007" s="9"/>
      <x:c r="AU1007" s="9" t="str">
        <x:v>No market</x:v>
      </x:c>
      <x:c r="AV1007" s="9" t="str">
        <x:v>Not sold on Steam or GOG (checked 2026-10-25) and no PriceCharting listing.</x:v>
      </x:c>
      <x:c r="AW1007" s="9"/>
      <x:c r="AX1007" s="9"/>
      <x:c r="AY1007" s="9"/>
      <x:c r="AZ1007" s="9" t="str">
        <x:v>3.9</x:v>
      </x:c>
      <x:c r="BA1007" s="11" t="str">
        <x:f>HYPERLINK("https://www.mobygames.com/game/windows/fate-by-numbers","MobyGames")</x:f>
        <x:v>MobyGames</x:v>
      </x:c>
      <x:c r="BB1007" s="9" t="str">
        <x:v>85%</x:v>
      </x:c>
      <x:c r="BC1007" s="9" t="str">
        <x:v>GameRankings, 1 review</x:v>
      </x:c>
      <x:c r="BD1007" s="9" t="str">
        <x:f>HYPERLINK("https://web.archive.org/web/20191209015411id_/https://www.gamerankings.com/pc/942647-fate-by-numbers/","Source")</x:f>
        <x:v>Source</x:v>
      </x:c>
      <x:c r="BE1007" s="9"/>
      <x:c r="BF1007" s="11" t="str">
        <x:f>HYPERLINK("https://backloggd.com/search/games/Fate%20by%20Numbers/","Backloggd")</x:f>
        <x:v>Backloggd</x:v>
      </x:c>
      <x:c r="BG1007" s="9"/>
      <x:c r="BH1007" s="9"/>
      <x:c r="BI1007" s="12" t="str">
        <x:v>No</x:v>
      </x:c>
      <x:c r="BJ1007" s="12" t="str"/>
      <x:c r="BK1007" s="12" t="str">
        <x:v>No</x:v>
      </x:c>
      <x:c r="BL1007" s="12" t="str"/>
      <x:c r="BM1007" s="12" t="str"/>
      <x:c r="BN1007" s="12" t="str"/>
      <x:c r="BO1007" s="12" t="str"/>
      <x:c r="BP1007" s="12" t="str"/>
      <x:c r="BQ1007" s="12" t="str"/>
    </x:row>
    <x:row r="1008">
      <x:c r="A1008" s="9" t="str">
        <x:v>pc-327</x:v>
      </x:c>
      <x:c r="B1008" s="9" t="str">
        <x:v>darkstar-the-interactive-movie</x:v>
      </x:c>
      <x:c r="C1008" s="9" t="str">
        <x:v>PC</x:v>
      </x:c>
      <x:c r="D1008" s="9" t="str">
        <x:v>Darkstar: The Interactive Movie</x:v>
      </x:c>
      <x:c r="E1008" s="9" t="str"/>
      <x:c r="F1008" s="9" t="str">
        <x:v>Parallax Studio</x:v>
      </x:c>
      <x:c r="G1008" s="9" t="str">
        <x:v>Parallax Studio</x:v>
      </x:c>
      <x:c r="H1008" s="9" t="n">
        <x:v>2010</x:v>
      </x:c>
      <x:c r="I1008" s="9" t="str">
        <x:v>Yes</x:v>
      </x:c>
      <x:c r="J1008" s="9" t="str">
        <x:v>No</x:v>
      </x:c>
      <x:c r="K1008" s="9" t="str">
        <x:v>Yes</x:v>
      </x:c>
      <x:c r="L1008" s="9" t="str">
        <x:v>No</x:v>
      </x:c>
      <x:c r="M1008" s="9" t="str">
        <x:v>Science-fiction interactive movie</x:v>
      </x:c>
      <x:c r="N1008" s="9" t="str">
        <x:v>Live-action</x:v>
      </x:c>
      <x:c r="O1008" s="9" t="n">
        <x:v>9</x:v>
      </x:c>
      <x:c r="P1008" s="9" t="str">
        <x:v>Interactive movie</x:v>
      </x:c>
      <x:c r="Q1008" s="9" t="str">
        <x:v>Released</x:v>
      </x:c>
      <x:c r="R1008" s="9" t="str">
        <x:v>Original production</x:v>
      </x:c>
      <x:c r="S1008" s="9"/>
      <x:c r="T1008" s="9" t="str">
        <x:v>Clive Robertson, Joel Hodgson, Trace Beaulieu, Frank Conniff, Mary Jo Pehl and other MST3K alumni; Peter Graves narrates</x:v>
      </x:c>
      <x:c r="U1008" s="9" t="n">
        <x:v>4</x:v>
      </x:c>
      <x:c r="V1008" s="9" t="str">
        <x:v>Yes</x:v>
      </x:c>
      <x:c r="W1008" s="9" t="str">
        <x:v>Windows XP; Mac OS X; Steam (2014)</x:v>
      </x:c>
      <x:c r="X1008" s="9" t="str">
        <x:v>Low</x:v>
      </x:c>
      <x:c r="Y1008" s="9" t="str"/>
      <x:c r="Z1008" s="9" t="str">
        <x:v>8–10 hr</x:v>
      </x:c>
      <x:c r="AA1008" s="9" t="str">
        <x:v>Ten years and four discs of filmed science fiction with the Mystery Science Theater 3000 cast and Peter Graves' last performance.</x:v>
      </x:c>
      <x:c r="AB1008" s="9" t="str">
        <x:v>None known</x:v>
      </x:c>
      <x:c r="AC1008" s="9" t="str">
        <x:v>Fully filmed exploration and cutscenes; the player clicks through video nodes</x:v>
      </x:c>
      <x:c r="AD1008" s="9" t="str">
        <x:v>Moderate</x:v>
      </x:c>
      <x:c r="AE1008" s="9" t="str">
        <x:v>Several</x:v>
      </x:c>
      <x:c r="AF1008" s="9" t="str">
        <x:v>Billed as the largest independent FMV game ever made; Steam 2014. Reviews mixed (verify).</x:v>
      </x:c>
      <x:c r="AG1008" s="9" t="str">
        <x:v>4-DVD boxed set (2010); Steam (2014)</x:v>
      </x:c>
      <x:c r="AH1008" s="9" t="str">
        <x:v>No verified current official digital sale; original DVD-ROM editions secondhand</x:v>
      </x:c>
      <x:c r="AI1008" s="9" t="str">
        <x:v>Easy</x:v>
      </x:c>
      <x:c r="AJ1008" s="9" t="str">
        <x:v>Original PC/Mac DVD-ROM edition on compatible hardware. Current official digital sale unverified; a retail listing has online checkout paused.</x:v>
      </x:c>
      <x:c r="AK1008" s="9"/>
      <x:c r="AL1008" s="10"/>
      <x:c r="AM1008" s="10"/>
      <x:c r="AN1008" s="10"/>
      <x:c r="AO1008" s="9"/>
      <x:c r="AP1008" s="11" t="str">
        <x:f>HYPERLINK("https://www.pricecharting.com/search-products?q=Darkstar%3A+The+Interactive+Movie+pc+games&amp;type=prices","PriceCharting")</x:f>
        <x:v>PriceCharting</x:v>
      </x:c>
      <x:c r="AQ1008" s="9"/>
      <x:c r="AR1008" s="9"/>
      <x:c r="AS1008" s="9"/>
      <x:c r="AT1008" s="9"/>
      <x:c r="AU1008" s="9" t="str">
        <x:v>No market</x:v>
      </x:c>
      <x:c r="AV1008" s="9" t="str">
        <x:v>Not sold on Steam or GOG (checked 2026-10-25) and no PriceCharting listing.</x:v>
      </x:c>
      <x:c r="AW1008" s="9"/>
      <x:c r="AX1008" s="9"/>
      <x:c r="AY1008" s="9"/>
      <x:c r="AZ1008" s="9" t="str">
        <x:v>3.8</x:v>
      </x:c>
      <x:c r="BA1008" s="11" t="str">
        <x:f>HYPERLINK("https://www.mobygames.com/game/windows/darkstar-the-interactive-movie","MobyGames")</x:f>
        <x:v>MobyGames</x:v>
      </x:c>
      <x:c r="BB1008" s="9" t="str">
        <x:v>42%</x:v>
      </x:c>
      <x:c r="BC1008" s="9" t="str">
        <x:v>GameRankings, 4 reviews</x:v>
      </x:c>
      <x:c r="BD1008" s="9" t="str">
        <x:f>HYPERLINK("https://web.archive.org/web/20191209014632id_/https://www.gamerankings.com/pc/611795-darkstar-the-interactive-movie/","Source")</x:f>
        <x:v>Source</x:v>
      </x:c>
      <x:c r="BE1008" s="11" t="str">
        <x:f>HYPERLINK("https://en.wikipedia.org/wiki/Darkstar:_The_Interactive_Movie","Wikipedia")</x:f>
        <x:v>Wikipedia</x:v>
      </x:c>
      <x:c r="BF1008" s="11" t="str">
        <x:f>HYPERLINK("https://backloggd.com/search/games/Darkstar%3A%20The%20Interactive%20Movie/","Backloggd")</x:f>
        <x:v>Backloggd</x:v>
      </x:c>
      <x:c r="BG1008" s="9"/>
      <x:c r="BH1008" s="9"/>
      <x:c r="BI1008" s="12" t="str">
        <x:v>No</x:v>
      </x:c>
      <x:c r="BJ1008" s="12" t="str"/>
      <x:c r="BK1008" s="12" t="str">
        <x:v>No</x:v>
      </x:c>
      <x:c r="BL1008" s="12" t="str"/>
      <x:c r="BM1008" s="12" t="str"/>
      <x:c r="BN1008" s="12" t="str"/>
      <x:c r="BO1008" s="12" t="str"/>
      <x:c r="BP1008" s="12" t="str"/>
      <x:c r="BQ1008" s="12" t="str"/>
    </x:row>
    <x:row r="1009">
      <x:c r="A1009" s="9" t="str">
        <x:v>pc-328</x:v>
      </x:c>
      <x:c r="B1009" s="9" t="str">
        <x:v>cloud-chamber</x:v>
      </x:c>
      <x:c r="C1009" s="9" t="str">
        <x:v>PC</x:v>
      </x:c>
      <x:c r="D1009" s="9" t="str">
        <x:v>Cloud Chamber</x:v>
      </x:c>
      <x:c r="E1009" s="9" t="str"/>
      <x:c r="F1009" s="9" t="str">
        <x:v>Investigate North</x:v>
      </x:c>
      <x:c r="G1009" s="9" t="str">
        <x:v>Investigate North</x:v>
      </x:c>
      <x:c r="H1009" s="9" t="n">
        <x:v>2014</x:v>
      </x:c>
      <x:c r="I1009" s="9" t="str">
        <x:v>Yes</x:v>
      </x:c>
      <x:c r="J1009" s="9" t="str">
        <x:v>No</x:v>
      </x:c>
      <x:c r="K1009" s="9" t="str">
        <x:v>Yes</x:v>
      </x:c>
      <x:c r="L1009" s="9" t="str">
        <x:v>No</x:v>
      </x:c>
      <x:c r="M1009" s="9" t="str">
        <x:v>Online investigation with filmed clips</x:v>
      </x:c>
      <x:c r="N1009" s="9" t="str">
        <x:v>Live-action</x:v>
      </x:c>
      <x:c r="O1009" s="9" t="n">
        <x:v>7</x:v>
      </x:c>
      <x:c r="P1009" s="9" t="str">
        <x:v>FMV adventure</x:v>
      </x:c>
      <x:c r="Q1009" s="9" t="str">
        <x:v>Released</x:v>
      </x:c>
      <x:c r="R1009" s="9" t="str">
        <x:v>Original production (Denmark)</x:v>
      </x:c>
      <x:c r="S1009" s="9"/>
      <x:c r="T1009" s="9" t="str">
        <x:v>Danish cast (names verify)</x:v>
      </x:c>
      <x:c r="U1009" s="9" t="n">
        <x:v>0</x:v>
      </x:c>
      <x:c r="V1009" s="9" t="str">
        <x:v>Yes</x:v>
      </x:c>
      <x:c r="W1009" s="9" t="str">
        <x:v>Windows 7; Steam</x:v>
      </x:c>
      <x:c r="X1009" s="9" t="str">
        <x:v>Low</x:v>
      </x:c>
      <x:c r="Y1009" s="9" t="str"/>
      <x:c r="Z1009" s="9" t="str">
        <x:v>6–8 hr</x:v>
      </x:c>
      <x:c r="AA1009" s="9" t="str">
        <x:v>A Danish investigation game that put filmed clips in a shared online 'evidence board' players discussed together; delisted when the servers went (verify).</x:v>
      </x:c>
      <x:c r="AB1009" s="9" t="str">
        <x:v>None known</x:v>
      </x:c>
      <x:c r="AC1009" s="9" t="str">
        <x:v>Filmed clips and documents unlocked through discussion</x:v>
      </x:c>
      <x:c r="AD1009" s="9" t="str">
        <x:v>Moderate</x:v>
      </x:c>
      <x:c r="AE1009" s="9" t="str">
        <x:v>One</x:v>
      </x:c>
      <x:c r="AF1009" s="9" t="str">
        <x:v>Steam 2014; facts verify.</x:v>
      </x:c>
      <x:c r="AG1009" s="9" t="str">
        <x:v>Steam</x:v>
      </x:c>
      <x:c r="AH1009" s="9" t="str">
        <x:v>No (delisted; verify)</x:v>
      </x:c>
      <x:c r="AI1009" s="9" t="str">
        <x:v>Emulation only</x:v>
      </x:c>
      <x:c r="AJ1009" s="9" t="str">
        <x:v>Not sold; needs the shut-down community server (verify)</x:v>
      </x:c>
      <x:c r="AK1009" s="9"/>
      <x:c r="AL1009" s="10"/>
      <x:c r="AM1009" s="10"/>
      <x:c r="AN1009" s="10"/>
      <x:c r="AO1009" s="9"/>
      <x:c r="AP1009" s="11" t="str">
        <x:f>HYPERLINK("https://www.pricecharting.com/search-products?q=Cloud+Chamber+pc+games&amp;type=prices","PriceCharting")</x:f>
        <x:v>PriceCharting</x:v>
      </x:c>
      <x:c r="AQ1009" s="9"/>
      <x:c r="AR1009" s="9"/>
      <x:c r="AS1009" s="9"/>
      <x:c r="AT1009" s="9"/>
      <x:c r="AU1009" s="9" t="str">
        <x:v>No market</x:v>
      </x:c>
      <x:c r="AV1009" s="9" t="str">
        <x:v>Not sold on Steam or GOG (checked 2026-10-25) and no PriceCharting listing.</x:v>
      </x:c>
      <x:c r="AW1009" s="9"/>
      <x:c r="AX1009" s="9"/>
      <x:c r="AY1009" s="9" t="str">
        <x:v>76%</x:v>
      </x:c>
      <x:c r="AZ1009" s="9"/>
      <x:c r="BA1009" s="11" t="str">
        <x:f>HYPERLINK("https://www.mobygames.com/game/windows/cloud-chamber","MobyGames")</x:f>
        <x:v>MobyGames</x:v>
      </x:c>
      <x:c r="BB1009" s="9" t="str">
        <x:v>67%</x:v>
      </x:c>
      <x:c r="BC1009" s="9" t="str">
        <x:v>GameRankings, 6 reviews</x:v>
      </x:c>
      <x:c r="BD1009" s="9" t="str">
        <x:f>HYPERLINK("https://web.archive.org/web/20191209015744id_/https://www.gamerankings.com/pc/789243-cloud-chamber/","Source")</x:f>
        <x:v>Source</x:v>
      </x:c>
      <x:c r="BE1009" s="9"/>
      <x:c r="BF1009" s="11" t="str">
        <x:f>HYPERLINK("https://backloggd.com/search/games/Cloud%20Chamber/","Backloggd")</x:f>
        <x:v>Backloggd</x:v>
      </x:c>
      <x:c r="BG1009" s="9"/>
      <x:c r="BH1009" s="9"/>
      <x:c r="BI1009" s="12" t="str">
        <x:v>No</x:v>
      </x:c>
      <x:c r="BJ1009" s="12" t="str"/>
      <x:c r="BK1009" s="12" t="str">
        <x:v>No</x:v>
      </x:c>
      <x:c r="BL1009" s="12" t="str"/>
      <x:c r="BM1009" s="12" t="str"/>
      <x:c r="BN1009" s="12" t="str"/>
      <x:c r="BO1009" s="12" t="str"/>
      <x:c r="BP1009" s="12" t="str"/>
      <x:c r="BQ1009" s="12" t="str"/>
    </x:row>
    <x:row r="1010">
      <x:c r="A1010" s="9" t="str">
        <x:v>pc-329</x:v>
      </x:c>
      <x:c r="B1010" s="9" t="str">
        <x:v>sarah-is-missing</x:v>
      </x:c>
      <x:c r="C1010" s="9" t="str">
        <x:v>PC</x:v>
      </x:c>
      <x:c r="D1010" s="9" t="str">
        <x:v>Sara Is Missing</x:v>
      </x:c>
      <x:c r="E1010" s="9" t="str">
        <x:v>S.I.M.; Sarah Is Missing (misspelling)</x:v>
      </x:c>
      <x:c r="F1010" s="9" t="str">
        <x:v>Monsoon Lab</x:v>
      </x:c>
      <x:c r="G1010" s="9" t="str">
        <x:v>Monsoon Lab</x:v>
      </x:c>
      <x:c r="H1010" s="9" t="n">
        <x:v>2016</x:v>
      </x:c>
      <x:c r="I1010" s="9" t="str">
        <x:v>Yes</x:v>
      </x:c>
      <x:c r="J1010" s="9" t="str">
        <x:v>No</x:v>
      </x:c>
      <x:c r="K1010" s="9" t="str">
        <x:v>Yes</x:v>
      </x:c>
      <x:c r="L1010" s="9" t="str">
        <x:v>No</x:v>
      </x:c>
      <x:c r="M1010" s="9" t="str">
        <x:v>Found-phone horror with video</x:v>
      </x:c>
      <x:c r="N1010" s="9" t="str">
        <x:v>Live-action</x:v>
      </x:c>
      <x:c r="O1010" s="9" t="n">
        <x:v>6</x:v>
      </x:c>
      <x:c r="P1010" s="9" t="str">
        <x:v>FMV adventure</x:v>
      </x:c>
      <x:c r="Q1010" s="9" t="str">
        <x:v>Released</x:v>
      </x:c>
      <x:c r="R1010" s="9" t="str">
        <x:v>Original production (Malaysia)</x:v>
      </x:c>
      <x:c r="S1010" s="9"/>
      <x:c r="T1010" s="9" t="str">
        <x:v>Filmed video messages (names verify)</x:v>
      </x:c>
      <x:c r="U1010" s="9" t="n">
        <x:v>0</x:v>
      </x:c>
      <x:c r="V1010" s="9" t="str">
        <x:v>Yes</x:v>
      </x:c>
      <x:c r="W1010" s="9" t="str">
        <x:v>Windows 7; also Android/iOS; free</x:v>
      </x:c>
      <x:c r="X1010" s="9" t="str">
        <x:v>Low</x:v>
      </x:c>
      <x:c r="Y1010" s="9" t="str"/>
      <x:c r="Z1010" s="9" t="str">
        <x:v>30–45 min</x:v>
      </x:c>
      <x:c r="AA1010" s="9" t="str">
        <x:v>A free found-phone horror whose video clips started the SIMULACRA series; millions of downloads.</x:v>
      </x:c>
      <x:c r="AB1010" s="9" t="str">
        <x:v>None known</x:v>
      </x:c>
      <x:c r="AC1010" s="9" t="str">
        <x:v>Filmed video messages inside a simulated phone</x:v>
      </x:c>
      <x:c r="AD1010" s="9" t="str">
        <x:v>Easy</x:v>
      </x:c>
      <x:c r="AE1010" s="9" t="str">
        <x:v>Two</x:v>
      </x:c>
      <x:c r="AF1010" s="9" t="str">
        <x:v>Prequel to SIMULACRA (pc-197). Free on itch.io and Steam (verify).</x:v>
      </x:c>
      <x:c r="AG1010" s="9" t="str">
        <x:v>Free; itch.io, Steam, mobile</x:v>
      </x:c>
      <x:c r="AH1010" s="9" t="str">
        <x:v>Yes (free, Steam/itch)</x:v>
      </x:c>
      <x:c r="AI1010" s="9" t="str">
        <x:v>Easy</x:v>
      </x:c>
      <x:c r="AJ1010" s="9" t="str">
        <x:v>Steam or itch.io, free</x:v>
      </x:c>
      <x:c r="AK1010" s="9"/>
      <x:c r="AL1010" s="10"/>
      <x:c r="AM1010" s="10"/>
      <x:c r="AN1010" s="10"/>
      <x:c r="AO1010" s="9"/>
      <x:c r="AP1010" s="11" t="str">
        <x:f>HYPERLINK("https://www.pricecharting.com/search-products?q=Sarah+Is+Missing+pc+games&amp;type=prices","PriceCharting")</x:f>
        <x:v>PriceCharting</x:v>
      </x:c>
      <x:c r="AQ1010" s="9"/>
      <x:c r="AR1010" s="9"/>
      <x:c r="AS1010" s="9"/>
      <x:c r="AT1010" s="9"/>
      <x:c r="AU1010" s="9" t="str">
        <x:v>No market</x:v>
      </x:c>
      <x:c r="AV1010" s="9" t="str">
        <x:v>Not sold on Steam or GOG (checked 2026-10-25) and no PriceCharting listing.</x:v>
      </x:c>
      <x:c r="AW1010" s="9"/>
      <x:c r="AX1010" s="9"/>
      <x:c r="AY1010" s="9"/>
      <x:c r="AZ1010" s="9"/>
      <x:c r="BA1010" s="11" t="str">
        <x:f>HYPERLINK("https://www.mobygames.com/search/?q=Sarah+Is+Missing","MobyGames")</x:f>
        <x:v>MobyGames</x:v>
      </x:c>
      <x:c r="BB1010" s="9" t="str"/>
      <x:c r="BC1010" s="9" t="str"/>
      <x:c r="BD1010" s="9"/>
      <x:c r="BE1010" s="9"/>
      <x:c r="BF1010" s="11" t="str">
        <x:f>HYPERLINK("https://backloggd.com/search/games/Sara%20Is%20Missing/","Backloggd")</x:f>
        <x:v>Backloggd</x:v>
      </x:c>
      <x:c r="BG1010" s="9"/>
      <x:c r="BH1010" s="9"/>
      <x:c r="BI1010" s="12" t="str">
        <x:v>No</x:v>
      </x:c>
      <x:c r="BJ1010" s="12" t="str"/>
      <x:c r="BK1010" s="12" t="str">
        <x:v>No</x:v>
      </x:c>
      <x:c r="BL1010" s="12" t="str"/>
      <x:c r="BM1010" s="12" t="str"/>
      <x:c r="BN1010" s="12" t="str"/>
      <x:c r="BO1010" s="12" t="str"/>
      <x:c r="BP1010" s="12" t="str"/>
      <x:c r="BQ1010" s="12" t="str"/>
    </x:row>
    <x:row r="1011">
      <x:c r="A1011" s="9" t="str">
        <x:v>pc-330</x:v>
      </x:c>
      <x:c r="B1011" s="9" t="str">
        <x:v>the-13th-doll</x:v>
      </x:c>
      <x:c r="C1011" s="9" t="str">
        <x:v>PC</x:v>
      </x:c>
      <x:c r="D1011" s="9" t="str">
        <x:v>The 13th Doll: A Fan Game of The 7th Guest</x:v>
      </x:c>
      <x:c r="E1011" s="9" t="str"/>
      <x:c r="F1011" s="9" t="str">
        <x:v>Attic Door Productions</x:v>
      </x:c>
      <x:c r="G1011" s="9" t="str">
        <x:v>Attic Door Productions</x:v>
      </x:c>
      <x:c r="H1011" s="9" t="n">
        <x:v>2019</x:v>
      </x:c>
      <x:c r="I1011" s="9" t="str">
        <x:v>Yes</x:v>
      </x:c>
      <x:c r="J1011" s="9" t="str">
        <x:v>No</x:v>
      </x:c>
      <x:c r="K1011" s="9" t="str">
        <x:v>Yes</x:v>
      </x:c>
      <x:c r="L1011" s="9" t="str">
        <x:v>No</x:v>
      </x:c>
      <x:c r="M1011" s="9" t="str">
        <x:v>FMV puzzle adventure</x:v>
      </x:c>
      <x:c r="N1011" s="9" t="str">
        <x:v>Live-action</x:v>
      </x:c>
      <x:c r="O1011" s="9" t="n">
        <x:v>6</x:v>
      </x:c>
      <x:c r="P1011" s="9" t="str">
        <x:v>FMV adventure</x:v>
      </x:c>
      <x:c r="Q1011" s="9" t="str">
        <x:v>Released</x:v>
      </x:c>
      <x:c r="R1011" s="9" t="str">
        <x:v>Original production</x:v>
      </x:c>
      <x:c r="S1011" s="9"/>
      <x:c r="T1011" s="9" t="str">
        <x:v>Fan cast with Robert Hirschboeck (verify)</x:v>
      </x:c>
      <x:c r="U1011" s="9" t="n">
        <x:v>0</x:v>
      </x:c>
      <x:c r="V1011" s="9" t="str">
        <x:v>Yes</x:v>
      </x:c>
      <x:c r="W1011" s="9" t="str">
        <x:v>Windows 7; macOS; Linux</x:v>
      </x:c>
      <x:c r="X1011" s="9" t="str">
        <x:v>Low</x:v>
      </x:c>
      <x:c r="Y1011" s="9" t="str"/>
      <x:c r="Z1011" s="9" t="str">
        <x:v>6–8 hr</x:v>
      </x:c>
      <x:c r="AA1011" s="9" t="str">
        <x:v>A Kickstarted fan sequel to The 7th Guest with filmed actors back in Stauf's mansion, licensed by Trilobyte.</x:v>
      </x:c>
      <x:c r="AB1011" s="9" t="str">
        <x:v>None known</x:v>
      </x:c>
      <x:c r="AC1011" s="9" t="str">
        <x:v>Filmed ghosts and scenes composited over rendered rooms, 7th Guest style</x:v>
      </x:c>
      <x:c r="AD1011" s="9" t="str">
        <x:v>Moderate; puzzle house</x:v>
      </x:c>
      <x:c r="AE1011" s="9" t="str">
        <x:v>One</x:v>
      </x:c>
      <x:c r="AF1011" s="9" t="str">
        <x:v>Kickstarter 2015, release 2019; Steam and GOG.</x:v>
      </x:c>
      <x:c r="AG1011" s="9" t="str">
        <x:v>Steam, GOG</x:v>
      </x:c>
      <x:c r="AH1011" s="9" t="str">
        <x:v>Yes (Steam, GOG)</x:v>
      </x:c>
      <x:c r="AI1011" s="9" t="str">
        <x:v>Easy</x:v>
      </x:c>
      <x:c r="AJ1011" s="9" t="str">
        <x:v>Steam or GOG</x:v>
      </x:c>
      <x:c r="AK1011" s="9"/>
      <x:c r="AL1011" s="10"/>
      <x:c r="AM1011" s="10"/>
      <x:c r="AN1011" s="10"/>
      <x:c r="AO1011" s="9"/>
      <x:c r="AP1011" s="11" t="str">
        <x:f>HYPERLINK("https://www.pricecharting.com/search-products?q=The+13th+Doll%3A+A+Fan+Game+of+The+7th+Guest+pc+games&amp;type=prices","PriceCharting")</x:f>
        <x:v>PriceCharting</x:v>
      </x:c>
      <x:c r="AQ1011" s="9" t="n">
        <x:v>9.99</x:v>
      </x:c>
      <x:c r="AR1011" s="11" t="str">
        <x:v>GOG</x:v>
      </x:c>
      <x:c r="AS1011" s="9" t="str">
        <x:f>HYPERLINK("https://www.gog.com/en/game/the_13th_doll_a_fan_game_of_the_7th_guest","Store")</x:f>
        <x:v>Store</x:v>
      </x:c>
      <x:c r="AT1011" s="9" t="str">
        <x:v>2026-10-25</x:v>
      </x:c>
      <x:c r="AU1011" s="9"/>
      <x:c r="AV1011" s="9"/>
      <x:c r="AW1011" s="9"/>
      <x:c r="AX1011" s="9"/>
      <x:c r="AY1011" s="9"/>
      <x:c r="AZ1011" s="9"/>
      <x:c r="BA1011" s="11" t="str">
        <x:f>HYPERLINK("https://www.mobygames.com/search/?q=The+13th+Doll%3A+A+Fan+Game+of+The+7th+Guest","MobyGames")</x:f>
        <x:v>MobyGames</x:v>
      </x:c>
      <x:c r="BB1011" s="9" t="str"/>
      <x:c r="BC1011" s="9" t="str"/>
      <x:c r="BD1011" s="9"/>
      <x:c r="BE1011" s="9"/>
      <x:c r="BF1011" s="11" t="str">
        <x:f>HYPERLINK("https://backloggd.com/search/games/The%2013th%20Doll%3A%20A%20Fan%20Game%20of%20The%207th%20Guest/","Backloggd")</x:f>
        <x:v>Backloggd</x:v>
      </x:c>
      <x:c r="BG1011" s="9"/>
      <x:c r="BH1011" s="9"/>
      <x:c r="BI1011" s="12" t="str">
        <x:v>No</x:v>
      </x:c>
      <x:c r="BJ1011" s="12" t="str"/>
      <x:c r="BK1011" s="12" t="str">
        <x:v>No</x:v>
      </x:c>
      <x:c r="BL1011" s="12" t="str"/>
      <x:c r="BM1011" s="12" t="str"/>
      <x:c r="BN1011" s="12" t="str"/>
      <x:c r="BO1011" s="12" t="str"/>
      <x:c r="BP1011" s="12" t="str"/>
      <x:c r="BQ1011" s="12" t="str"/>
    </x:row>
    <x:row r="1012">
      <x:c r="A1012" s="9" t="str">
        <x:v>pc-331</x:v>
      </x:c>
      <x:c r="B1012" s="9" t="str">
        <x:v>headspun</x:v>
      </x:c>
      <x:c r="C1012" s="9" t="str">
        <x:v>PC</x:v>
      </x:c>
      <x:c r="D1012" s="9" t="str">
        <x:v>Headspun</x:v>
      </x:c>
      <x:c r="E1012" s="9" t="str"/>
      <x:c r="F1012" s="9" t="str">
        <x:v>Superstring</x:v>
      </x:c>
      <x:c r="G1012" s="9" t="str">
        <x:v>Wales Interactive</x:v>
      </x:c>
      <x:c r="H1012" s="9" t="n">
        <x:v>2019</x:v>
      </x:c>
      <x:c r="I1012" s="9" t="str">
        <x:v>Yes</x:v>
      </x:c>
      <x:c r="J1012" s="9" t="str">
        <x:v>No</x:v>
      </x:c>
      <x:c r="K1012" s="9" t="str">
        <x:v>Yes</x:v>
      </x:c>
      <x:c r="L1012" s="9" t="str">
        <x:v>No</x:v>
      </x:c>
      <x:c r="M1012" s="9" t="str">
        <x:v>FMV and adventure hybrid</x:v>
      </x:c>
      <x:c r="N1012" s="9" t="str">
        <x:v>Live-action</x:v>
      </x:c>
      <x:c r="O1012" s="9" t="n">
        <x:v>7</x:v>
      </x:c>
      <x:c r="P1012" s="9" t="str">
        <x:v>FMV adventure</x:v>
      </x:c>
      <x:c r="Q1012" s="9" t="str">
        <x:v>Released</x:v>
      </x:c>
      <x:c r="R1012" s="9" t="str">
        <x:v>Original production</x:v>
      </x:c>
      <x:c r="S1012" s="9"/>
      <x:c r="T1012" s="9" t="str">
        <x:v>Filmed as Ted and Teddy in the brain of a coma patient (names verify)</x:v>
      </x:c>
      <x:c r="U1012" s="9" t="n">
        <x:v>0</x:v>
      </x:c>
      <x:c r="V1012" s="9" t="str">
        <x:v>Yes</x:v>
      </x:c>
      <x:c r="W1012" s="9" t="str">
        <x:v>Windows 7; also PS4, Xbox One, Switch</x:v>
      </x:c>
      <x:c r="X1012" s="9" t="str">
        <x:v>Low</x:v>
      </x:c>
      <x:c r="Y1012" s="9" t="str"/>
      <x:c r="Z1012" s="9" t="str">
        <x:v>4–5 hr</x:v>
      </x:c>
      <x:c r="AA1012" s="9" t="str">
        <x:v>Inside a man's head after an accident, two filmed halves of his mind argue while you rebuild it; a Wales Interactive release.</x:v>
      </x:c>
      <x:c r="AB1012" s="9" t="str">
        <x:v>None known</x:v>
      </x:c>
      <x:c r="AC1012" s="9" t="str">
        <x:v>Filmed actors inside an animated brain office</x:v>
      </x:c>
      <x:c r="AD1012" s="9" t="str">
        <x:v>Easy</x:v>
      </x:c>
      <x:c r="AE1012" s="9" t="str">
        <x:v>One</x:v>
      </x:c>
      <x:c r="AF1012" s="9" t="str">
        <x:v>Metacritic in the 50s (verify).</x:v>
      </x:c>
      <x:c r="AG1012" s="9" t="str">
        <x:v>Steam, PS4, Xbox One, Switch</x:v>
      </x:c>
      <x:c r="AH1012" s="9" t="str">
        <x:v>Yes (Steam, consoles)</x:v>
      </x:c>
      <x:c r="AI1012" s="9" t="str">
        <x:v>Easy</x:v>
      </x:c>
      <x:c r="AJ1012" s="9" t="str">
        <x:v>Steam</x:v>
      </x:c>
      <x:c r="AK1012" s="9"/>
      <x:c r="AL1012" s="10"/>
      <x:c r="AM1012" s="10"/>
      <x:c r="AN1012" s="10"/>
      <x:c r="AO1012" s="9"/>
      <x:c r="AP1012" s="11" t="str">
        <x:f>HYPERLINK("https://www.pricecharting.com/search-products?q=Headspun+pc+games&amp;type=prices","PriceCharting")</x:f>
        <x:v>PriceCharting</x:v>
      </x:c>
      <x:c r="AQ1012" s="9" t="n">
        <x:v>10.99</x:v>
      </x:c>
      <x:c r="AR1012" s="11" t="str">
        <x:v>Steam</x:v>
      </x:c>
      <x:c r="AS1012" s="9" t="str">
        <x:f>HYPERLINK("https://store.steampowered.com/app/808770/","Store")</x:f>
        <x:v>Store</x:v>
      </x:c>
      <x:c r="AT1012" s="9" t="str">
        <x:v>2026-10-25</x:v>
      </x:c>
      <x:c r="AU1012" s="9"/>
      <x:c r="AV1012" s="9"/>
      <x:c r="AW1012" s="9"/>
      <x:c r="AX1012" s="9"/>
      <x:c r="AY1012" s="9"/>
      <x:c r="AZ1012" s="9"/>
      <x:c r="BA1012" s="11" t="str">
        <x:f>HYPERLINK("https://www.mobygames.com/search/?q=Headspun","MobyGames")</x:f>
        <x:v>MobyGames</x:v>
      </x:c>
      <x:c r="BB1012" s="9" t="str">
        <x:v>48%</x:v>
      </x:c>
      <x:c r="BC1012" s="9" t="str">
        <x:v>GameRankings, 6 reviews</x:v>
      </x:c>
      <x:c r="BD1012" s="9" t="str">
        <x:f>HYPERLINK("https://web.archive.org/web/20191209014531id_/https://www.gamerankings.com/pc/234300-headspun/","Source")</x:f>
        <x:v>Source</x:v>
      </x:c>
      <x:c r="BE1012" s="9"/>
      <x:c r="BF1012" s="11" t="str">
        <x:f>HYPERLINK("https://backloggd.com/search/games/Headspun/","Backloggd")</x:f>
        <x:v>Backloggd</x:v>
      </x:c>
      <x:c r="BG1012" s="9"/>
      <x:c r="BH1012" s="9"/>
      <x:c r="BI1012" s="12" t="str">
        <x:v>No</x:v>
      </x:c>
      <x:c r="BJ1012" s="12" t="str"/>
      <x:c r="BK1012" s="12" t="str">
        <x:v>No</x:v>
      </x:c>
      <x:c r="BL1012" s="12" t="str"/>
      <x:c r="BM1012" s="12" t="str"/>
      <x:c r="BN1012" s="12" t="str"/>
      <x:c r="BO1012" s="12" t="str"/>
      <x:c r="BP1012" s="12" t="str"/>
      <x:c r="BQ1012" s="12" t="str"/>
    </x:row>
    <x:row r="1013">
      <x:c r="A1013" s="9" t="str">
        <x:v>pc-332</x:v>
      </x:c>
      <x:c r="B1013" s="9" t="str">
        <x:v>doctor-who-the-lonely-assassins</x:v>
      </x:c>
      <x:c r="C1013" s="9" t="str">
        <x:v>PC</x:v>
      </x:c>
      <x:c r="D1013" s="9" t="str">
        <x:v>Doctor Who: The Lonely Assassins</x:v>
      </x:c>
      <x:c r="E1013" s="9" t="str"/>
      <x:c r="F1013" s="9" t="str">
        <x:v>Kaigan Games</x:v>
      </x:c>
      <x:c r="G1013" s="9" t="str">
        <x:v>Maze Theory</x:v>
      </x:c>
      <x:c r="H1013" s="9" t="n">
        <x:v>2021</x:v>
      </x:c>
      <x:c r="I1013" s="9" t="str">
        <x:v>Yes</x:v>
      </x:c>
      <x:c r="J1013" s="9" t="str">
        <x:v>No</x:v>
      </x:c>
      <x:c r="K1013" s="9" t="str">
        <x:v>Yes</x:v>
      </x:c>
      <x:c r="L1013" s="9" t="str">
        <x:v>No</x:v>
      </x:c>
      <x:c r="M1013" s="9" t="str">
        <x:v>Found-phone mystery with video</x:v>
      </x:c>
      <x:c r="N1013" s="9" t="str">
        <x:v>Live-action</x:v>
      </x:c>
      <x:c r="O1013" s="9" t="n">
        <x:v>7</x:v>
      </x:c>
      <x:c r="P1013" s="9" t="str">
        <x:v>FMV adventure</x:v>
      </x:c>
      <x:c r="Q1013" s="9" t="str">
        <x:v>Released</x:v>
      </x:c>
      <x:c r="R1013" s="9" t="str">
        <x:v>Original production</x:v>
      </x:c>
      <x:c r="S1013" s="9"/>
      <x:c r="T1013" s="9" t="str">
        <x:v>Finlay Robertson (Larry Nightingale), Jodie Whittaker (verify), Ingrid Oliver (Petronella Osgood)</x:v>
      </x:c>
      <x:c r="U1013" s="9" t="n">
        <x:v>0</x:v>
      </x:c>
      <x:c r="V1013" s="9" t="str">
        <x:v>Yes</x:v>
      </x:c>
      <x:c r="W1013" s="9" t="str">
        <x:v>Windows 7; iOS, Android, Switch, PS4, Xbox One</x:v>
      </x:c>
      <x:c r="X1013" s="9" t="str">
        <x:v>Med</x:v>
      </x:c>
      <x:c r="Y1013" s="9" t="str">
        <x:v>BBC Doctor Who footage and music</x:v>
      </x:c>
      <x:c r="Z1013" s="9" t="str">
        <x:v>2–3 hr</x:v>
      </x:c>
      <x:c r="AA1013" s="9" t="str">
        <x:v>A found phone that continues Blink: Larry Nightingale video-calls you about the Weeping Angels, from the SIMULACRA studio.</x:v>
      </x:c>
      <x:c r="AB1013" s="9" t="str">
        <x:v>None known</x:v>
      </x:c>
      <x:c r="AC1013" s="9" t="str">
        <x:v>Filmed video calls and clips inside a simulated phone</x:v>
      </x:c>
      <x:c r="AD1013" s="9" t="str">
        <x:v>Easy</x:v>
      </x:c>
      <x:c r="AE1013" s="9" t="str">
        <x:v>One</x:v>
      </x:c>
      <x:c r="AF1013" s="9" t="str">
        <x:v>Official BBC licence; a sequel to the 2007 episode Blink.</x:v>
      </x:c>
      <x:c r="AG1013" s="9" t="str">
        <x:v>Mobile, Steam, consoles</x:v>
      </x:c>
      <x:c r="AH1013" s="9" t="str">
        <x:v>Yes (Steam, mobile, consoles)</x:v>
      </x:c>
      <x:c r="AI1013" s="9" t="str">
        <x:v>Easy</x:v>
      </x:c>
      <x:c r="AJ1013" s="9" t="str">
        <x:v>Steam</x:v>
      </x:c>
      <x:c r="AK1013" s="9"/>
      <x:c r="AL1013" s="10"/>
      <x:c r="AM1013" s="10"/>
      <x:c r="AN1013" s="10"/>
      <x:c r="AO1013" s="9"/>
      <x:c r="AP1013" s="11" t="str">
        <x:f>HYPERLINK("https://www.pricecharting.com/search-products?q=Doctor+Who%3A+The+Lonely+Assassins+pc+games&amp;type=prices","PriceCharting")</x:f>
        <x:v>PriceCharting</x:v>
      </x:c>
      <x:c r="AQ1013" s="9" t="n">
        <x:v>5.99</x:v>
      </x:c>
      <x:c r="AR1013" s="11" t="str">
        <x:v>Steam</x:v>
      </x:c>
      <x:c r="AS1013" s="9" t="str">
        <x:f>HYPERLINK("https://store.steampowered.com/app/1508270/","Store")</x:f>
        <x:v>Store</x:v>
      </x:c>
      <x:c r="AT1013" s="9" t="str">
        <x:v>2026-10-25</x:v>
      </x:c>
      <x:c r="AU1013" s="9"/>
      <x:c r="AV1013" s="9"/>
      <x:c r="AW1013" s="9"/>
      <x:c r="AX1013" s="9"/>
      <x:c r="AY1013" s="9"/>
      <x:c r="AZ1013" s="9"/>
      <x:c r="BA1013" s="11" t="str">
        <x:f>HYPERLINK("https://www.mobygames.com/search/?q=Doctor+Who%3A+The+Lonely+Assassins","MobyGames")</x:f>
        <x:v>MobyGames</x:v>
      </x:c>
      <x:c r="BB1013" s="9" t="str"/>
      <x:c r="BC1013" s="9" t="str"/>
      <x:c r="BD1013" s="9"/>
      <x:c r="BE1013" s="11" t="str">
        <x:f>HYPERLINK("https://en.wikipedia.org/wiki/Doctor_Who:_The_Lonely_Assassins","Wikipedia")</x:f>
        <x:v>Wikipedia</x:v>
      </x:c>
      <x:c r="BF1013" s="11" t="str">
        <x:f>HYPERLINK("https://backloggd.com/search/games/Doctor%20Who%3A%20The%20Lonely%20Assassins/","Backloggd")</x:f>
        <x:v>Backloggd</x:v>
      </x:c>
      <x:c r="BG1013" s="9"/>
      <x:c r="BH1013" s="9"/>
      <x:c r="BI1013" s="12" t="str">
        <x:v>No</x:v>
      </x:c>
      <x:c r="BJ1013" s="12" t="str"/>
      <x:c r="BK1013" s="12" t="str">
        <x:v>No</x:v>
      </x:c>
      <x:c r="BL1013" s="12" t="str"/>
      <x:c r="BM1013" s="12" t="str"/>
      <x:c r="BN1013" s="12" t="str"/>
      <x:c r="BO1013" s="12" t="str"/>
      <x:c r="BP1013" s="12" t="str"/>
      <x:c r="BQ1013" s="12" t="str"/>
    </x:row>
    <x:row r="1014">
      <x:c r="A1014" s="9" t="str">
        <x:v>pc-333</x:v>
      </x:c>
      <x:c r="B1014" s="9" t="str">
        <x:v>train-to-sachsenhausen</x:v>
      </x:c>
      <x:c r="C1014" s="9" t="str">
        <x:v>PC</x:v>
      </x:c>
      <x:c r="D1014" s="9" t="str">
        <x:v>Train to Sachsenhausen</x:v>
      </x:c>
      <x:c r="E1014" s="9" t="str"/>
      <x:c r="F1014" s="9" t="str">
        <x:v>Charles Games</x:v>
      </x:c>
      <x:c r="G1014" s="9" t="str">
        <x:v>Charles Games</x:v>
      </x:c>
      <x:c r="H1014" s="9" t="n">
        <x:v>2022</x:v>
      </x:c>
      <x:c r="I1014" s="9" t="str">
        <x:v>Yes</x:v>
      </x:c>
      <x:c r="J1014" s="9" t="str">
        <x:v>No</x:v>
      </x:c>
      <x:c r="K1014" s="9" t="str">
        <x:v>Yes</x:v>
      </x:c>
      <x:c r="L1014" s="9" t="str">
        <x:v>No</x:v>
      </x:c>
      <x:c r="M1014" s="9" t="str">
        <x:v>Historical narrative</x:v>
      </x:c>
      <x:c r="N1014" s="9" t="str">
        <x:v>Live-action</x:v>
      </x:c>
      <x:c r="O1014" s="9" t="n">
        <x:v>5</x:v>
      </x:c>
      <x:c r="P1014" s="9" t="str">
        <x:v>FMV adventure</x:v>
      </x:c>
      <x:c r="Q1014" s="9" t="str">
        <x:v>Released</x:v>
      </x:c>
      <x:c r="R1014" s="9" t="str">
        <x:v>Original production (Czech Republic)</x:v>
      </x:c>
      <x:c r="S1014" s="9"/>
      <x:c r="T1014" s="9" t="str">
        <x:v>Filmed survivor testimony and actors (verify)</x:v>
      </x:c>
      <x:c r="U1014" s="9" t="n">
        <x:v>0</x:v>
      </x:c>
      <x:c r="V1014" s="9" t="str">
        <x:v>Yes</x:v>
      </x:c>
      <x:c r="W1014" s="9" t="str">
        <x:v>Windows 7; mobile</x:v>
      </x:c>
      <x:c r="X1014" s="9" t="str">
        <x:v>Low</x:v>
      </x:c>
      <x:c r="Y1014" s="9" t="str"/>
      <x:c r="Z1014" s="9" t="str">
        <x:v>1–2 hr</x:v>
      </x:c>
      <x:c r="AA1014" s="9" t="str">
        <x:v>Charles Games' follow-up to Attentat 1942 on the 1939 Prague student arrests, with filmed footage (verify how much).</x:v>
      </x:c>
      <x:c r="AB1014" s="9" t="str">
        <x:v>None known</x:v>
      </x:c>
      <x:c r="AC1014" s="9" t="str">
        <x:v>Filmed segments and illustrated scenes (verify)</x:v>
      </x:c>
      <x:c r="AD1014" s="9" t="str">
        <x:v>Easy</x:v>
      </x:c>
      <x:c r="AE1014" s="9" t="str">
        <x:v>Several</x:v>
      </x:c>
      <x:c r="AF1014" s="9" t="str">
        <x:v>Facts verify; Attentat 1942 (pc-272) is the sibling.</x:v>
      </x:c>
      <x:c r="AG1014" s="9" t="str">
        <x:v>Steam, mobile</x:v>
      </x:c>
      <x:c r="AH1014" s="9" t="str">
        <x:v>Yes (Steam)</x:v>
      </x:c>
      <x:c r="AI1014" s="9" t="str">
        <x:v>Easy</x:v>
      </x:c>
      <x:c r="AJ1014" s="9" t="str">
        <x:v>Steam</x:v>
      </x:c>
      <x:c r="AK1014" s="9"/>
      <x:c r="AL1014" s="10"/>
      <x:c r="AM1014" s="10"/>
      <x:c r="AN1014" s="10"/>
      <x:c r="AO1014" s="9"/>
      <x:c r="AP1014" s="11" t="str">
        <x:f>HYPERLINK("https://www.pricecharting.com/search-products?q=Train+to+Sachsenhausen+pc+games&amp;type=prices","PriceCharting")</x:f>
        <x:v>PriceCharting</x:v>
      </x:c>
      <x:c r="AQ1014" s="9"/>
      <x:c r="AR1014" s="9"/>
      <x:c r="AS1014" s="9"/>
      <x:c r="AT1014" s="9"/>
      <x:c r="AU1014" s="9" t="str">
        <x:v>No market</x:v>
      </x:c>
      <x:c r="AV1014" s="9" t="str">
        <x:v>Not sold on Steam or GOG (checked 2026-10-25) and no PriceCharting listing.</x:v>
      </x:c>
      <x:c r="AW1014" s="9"/>
      <x:c r="AX1014" s="9"/>
      <x:c r="AY1014" s="9"/>
      <x:c r="AZ1014" s="9"/>
      <x:c r="BA1014" s="11" t="str">
        <x:f>HYPERLINK("https://www.mobygames.com/search/?q=Train+to+Sachsenhausen","MobyGames")</x:f>
        <x:v>MobyGames</x:v>
      </x:c>
      <x:c r="BB1014" s="9" t="str"/>
      <x:c r="BC1014" s="9" t="str"/>
      <x:c r="BD1014" s="9"/>
      <x:c r="BE1014" s="9"/>
      <x:c r="BF1014" s="11" t="str">
        <x:f>HYPERLINK("https://backloggd.com/search/games/Train%20to%20Sachsenhausen/","Backloggd")</x:f>
        <x:v>Backloggd</x:v>
      </x:c>
      <x:c r="BG1014" s="9"/>
      <x:c r="BH1014" s="9"/>
      <x:c r="BI1014" s="12" t="str">
        <x:v>No</x:v>
      </x:c>
      <x:c r="BJ1014" s="12" t="str"/>
      <x:c r="BK1014" s="12" t="str">
        <x:v>No</x:v>
      </x:c>
      <x:c r="BL1014" s="12" t="str"/>
      <x:c r="BM1014" s="12" t="str"/>
      <x:c r="BN1014" s="12" t="str"/>
      <x:c r="BO1014" s="12" t="str"/>
      <x:c r="BP1014" s="12" t="str"/>
      <x:c r="BQ1014" s="12" t="str"/>
    </x:row>
    <x:row r="1015">
      <x:c r="A1015" s="9" t="str">
        <x:v>pc-334</x:v>
      </x:c>
      <x:c r="B1015" s="9" t="str">
        <x:v>the-invisible-guardian</x:v>
      </x:c>
      <x:c r="C1015" s="9" t="str">
        <x:v>PC</x:v>
      </x:c>
      <x:c r="D1015" s="9" t="str">
        <x:v>The Invisible Guardian</x:v>
      </x:c>
      <x:c r="E1015" s="9" t="str">
        <x:v>隐形守护者</x:v>
      </x:c>
      <x:c r="F1015" s="9" t="str">
        <x:v>New One Studio</x:v>
      </x:c>
      <x:c r="G1015" s="9" t="str">
        <x:v>New One Studio</x:v>
      </x:c>
      <x:c r="H1015" s="9" t="n">
        <x:v>2019</x:v>
      </x:c>
      <x:c r="I1015" s="9" t="str">
        <x:v>Yes</x:v>
      </x:c>
      <x:c r="J1015" s="9" t="str">
        <x:v>No</x:v>
      </x:c>
      <x:c r="K1015" s="9" t="str">
        <x:v>Yes</x:v>
      </x:c>
      <x:c r="L1015" s="9" t="str">
        <x:v>No</x:v>
      </x:c>
      <x:c r="M1015" s="9" t="str">
        <x:v>Live-action spy adventure</x:v>
      </x:c>
      <x:c r="N1015" s="9" t="str">
        <x:v>Live-action stills and clips</x:v>
      </x:c>
      <x:c r="O1015" s="9" t="n">
        <x:v>7</x:v>
      </x:c>
      <x:c r="P1015" s="9" t="str">
        <x:v>Interactive movie</x:v>
      </x:c>
      <x:c r="Q1015" s="9" t="str">
        <x:v>Released</x:v>
      </x:c>
      <x:c r="R1015" s="9" t="str">
        <x:v>Original production (China)</x:v>
      </x:c>
      <x:c r="S1015" s="9"/>
      <x:c r="T1015" s="9" t="str">
        <x:v>Chinese cast (names verify)</x:v>
      </x:c>
      <x:c r="U1015" s="9" t="n">
        <x:v>0</x:v>
      </x:c>
      <x:c r="V1015" s="9" t="str">
        <x:v>Yes</x:v>
      </x:c>
      <x:c r="W1015" s="9" t="str">
        <x:v>Windows 7; also Switch, PS4, mobile</x:v>
      </x:c>
      <x:c r="X1015" s="9" t="str">
        <x:v>Low</x:v>
      </x:c>
      <x:c r="Y1015" s="9" t="str"/>
      <x:c r="Z1015" s="9" t="str">
        <x:v>15–20 hr</x:v>
      </x:c>
      <x:c r="AA1015" s="9" t="str">
        <x:v>The Chinese FMV hit before the wave: a 1930s Shanghai spy drama in filmed stills and clips that topped Steam's global chart in 2019.</x:v>
      </x:c>
      <x:c r="AB1015" s="9" t="str">
        <x:v>None known</x:v>
      </x:c>
      <x:c r="AC1015" s="9" t="str">
        <x:v>Mostly photographed live-action stills with motion segments and video (verify the split)</x:v>
      </x:c>
      <x:c r="AD1015" s="9" t="str">
        <x:v>Moderate; many deaths</x:v>
      </x:c>
      <x:c r="AE1015" s="9" t="str">
        <x:v>Many</x:v>
      </x:c>
      <x:c r="AF1015" s="9" t="str">
        <x:v>Steam top seller in early 2019; English subtitles. Based on the web game Lurking (verify).</x:v>
      </x:c>
      <x:c r="AG1015" s="9" t="str">
        <x:v>Steam, Switch, PS4, mobile</x:v>
      </x:c>
      <x:c r="AH1015" s="9" t="str">
        <x:v>Yes (Steam, Switch, PS4)</x:v>
      </x:c>
      <x:c r="AI1015" s="9" t="str">
        <x:v>Easy</x:v>
      </x:c>
      <x:c r="AJ1015" s="9" t="str">
        <x:v>Steam</x:v>
      </x:c>
      <x:c r="AK1015" s="9"/>
      <x:c r="AL1015" s="10"/>
      <x:c r="AM1015" s="10"/>
      <x:c r="AN1015" s="10"/>
      <x:c r="AO1015" s="9"/>
      <x:c r="AP1015" s="11" t="str">
        <x:f>HYPERLINK("https://www.pricecharting.com/search-products?q=The+Invisible+Guardian+pc+games&amp;type=prices","PriceCharting")</x:f>
        <x:v>PriceCharting</x:v>
      </x:c>
      <x:c r="AQ1015" s="9"/>
      <x:c r="AR1015" s="9"/>
      <x:c r="AS1015" s="9"/>
      <x:c r="AT1015" s="9"/>
      <x:c r="AU1015" s="9" t="str">
        <x:v>No market</x:v>
      </x:c>
      <x:c r="AV1015" s="9" t="str">
        <x:v>Not sold on Steam or GOG (checked 2026-10-25) and no PriceCharting listing.</x:v>
      </x:c>
      <x:c r="AW1015" s="9"/>
      <x:c r="AX1015" s="9"/>
      <x:c r="AY1015" s="9"/>
      <x:c r="AZ1015" s="9"/>
      <x:c r="BA1015" s="11" t="str">
        <x:f>HYPERLINK("https://www.mobygames.com/search/?q=The+Invisible+Guardian","MobyGames")</x:f>
        <x:v>MobyGames</x:v>
      </x:c>
      <x:c r="BB1015" s="9" t="str"/>
      <x:c r="BC1015" s="9" t="str"/>
      <x:c r="BD1015" s="9"/>
      <x:c r="BE1015" s="11" t="str">
        <x:f>HYPERLINK("https://en.wikipedia.org/wiki/The_Invisible_Guardian_(video_game)","Wikipedia")</x:f>
        <x:v>Wikipedia</x:v>
      </x:c>
      <x:c r="BF1015" s="11" t="str">
        <x:f>HYPERLINK("https://backloggd.com/search/games/The%20Invisible%20Guardian/","Backloggd")</x:f>
        <x:v>Backloggd</x:v>
      </x:c>
      <x:c r="BG1015" s="9"/>
      <x:c r="BH1015" s="9"/>
      <x:c r="BI1015" s="12" t="str">
        <x:v>No</x:v>
      </x:c>
      <x:c r="BJ1015" s="12" t="str"/>
      <x:c r="BK1015" s="12" t="str">
        <x:v>No</x:v>
      </x:c>
      <x:c r="BL1015" s="12" t="str"/>
      <x:c r="BM1015" s="12" t="str"/>
      <x:c r="BN1015" s="12" t="str"/>
      <x:c r="BO1015" s="12" t="str"/>
      <x:c r="BP1015" s="12" t="str"/>
      <x:c r="BQ1015" s="12" t="str"/>
    </x:row>
    <x:row r="1016">
      <x:c r="A1016" s="9" t="str">
        <x:v>pc-335</x:v>
      </x:c>
      <x:c r="B1016" s="9" t="str">
        <x:v>what-the-dub</x:v>
      </x:c>
      <x:c r="C1016" s="9" t="str">
        <x:v>PC</x:v>
      </x:c>
      <x:c r="D1016" s="9" t="str">
        <x:v>What The Dub?!</x:v>
      </x:c>
      <x:c r="E1016" s="9" t="str"/>
      <x:c r="F1016" s="9" t="str">
        <x:v>Wide Right Interactive</x:v>
      </x:c>
      <x:c r="G1016" s="9" t="str">
        <x:v>Wide Right Interactive</x:v>
      </x:c>
      <x:c r="H1016" s="9" t="n">
        <x:v>2021</x:v>
      </x:c>
      <x:c r="I1016" s="9" t="str">
        <x:v>Yes</x:v>
      </x:c>
      <x:c r="J1016" s="9" t="str">
        <x:v>No</x:v>
      </x:c>
      <x:c r="K1016" s="9" t="str">
        <x:v>Yes</x:v>
      </x:c>
      <x:c r="L1016" s="9" t="str">
        <x:v>No</x:v>
      </x:c>
      <x:c r="M1016" s="9" t="str">
        <x:v>Party game over film clips</x:v>
      </x:c>
      <x:c r="N1016" s="9" t="str">
        <x:v>Film footage</x:v>
      </x:c>
      <x:c r="O1016" s="9" t="n">
        <x:v>8</x:v>
      </x:c>
      <x:c r="P1016" s="9" t="str">
        <x:v>Game show / trivia</x:v>
      </x:c>
      <x:c r="Q1016" s="9" t="str">
        <x:v>Released</x:v>
      </x:c>
      <x:c r="R1016" s="9" t="str">
        <x:v>Original production</x:v>
      </x:c>
      <x:c r="S1016" s="9"/>
      <x:c r="T1016" s="9" t="str">
        <x:v>Public-domain B-movies and educational films</x:v>
      </x:c>
      <x:c r="U1016" s="9" t="n">
        <x:v>0</x:v>
      </x:c>
      <x:c r="V1016" s="9" t="str">
        <x:v>Yes</x:v>
      </x:c>
      <x:c r="W1016" s="9" t="str">
        <x:v>Windows 7; PS4, Xbox, Switch; phones as controllers</x:v>
      </x:c>
      <x:c r="X1016" s="9" t="str">
        <x:v>Low</x:v>
      </x:c>
      <x:c r="Y1016" s="9" t="str"/>
      <x:c r="Z1016" s="9" t="str">
        <x:v>Open-ended</x:v>
      </x:c>
      <x:c r="AA1016" s="9" t="str">
        <x:v>Jackbox-style party game: write the missing line for a clip from a public-domain B-movie and a text-to-speech voice dubs it in.</x:v>
      </x:c>
      <x:c r="AB1016" s="9" t="str">
        <x:v>None known</x:v>
      </x:c>
      <x:c r="AC1016" s="9" t="str">
        <x:v>Streamed public-domain film clips you dub</x:v>
      </x:c>
      <x:c r="AD1016" s="9" t="str">
        <x:v>Easy</x:v>
      </x:c>
      <x:c r="AE1016" s="9" t="str">
        <x:v>None</x:v>
      </x:c>
      <x:c r="AF1016" s="9" t="str">
        <x:v>Followed by RiffTrax: The Game (2022).</x:v>
      </x:c>
      <x:c r="AG1016" s="9" t="str">
        <x:v>Steam, consoles</x:v>
      </x:c>
      <x:c r="AH1016" s="9" t="str">
        <x:v>Yes (Steam, consoles)</x:v>
      </x:c>
      <x:c r="AI1016" s="9" t="str">
        <x:v>Easy</x:v>
      </x:c>
      <x:c r="AJ1016" s="9" t="str">
        <x:v>Steam</x:v>
      </x:c>
      <x:c r="AK1016" s="9"/>
      <x:c r="AL1016" s="10"/>
      <x:c r="AM1016" s="10"/>
      <x:c r="AN1016" s="10"/>
      <x:c r="AO1016" s="9"/>
      <x:c r="AP1016" s="11" t="str">
        <x:f>HYPERLINK("https://www.pricecharting.com/search-products?q=What+The+Dub%3F%21+pc+games&amp;type=prices","PriceCharting")</x:f>
        <x:v>PriceCharting</x:v>
      </x:c>
      <x:c r="AQ1016" s="9" t="n">
        <x:v>5.59</x:v>
      </x:c>
      <x:c r="AR1016" s="11" t="str">
        <x:v>Steam</x:v>
      </x:c>
      <x:c r="AS1016" s="9" t="str">
        <x:f>HYPERLINK("https://store.steampowered.com/app/1495860/","Store")</x:f>
        <x:v>Store</x:v>
      </x:c>
      <x:c r="AT1016" s="9" t="str">
        <x:v>2026-10-25</x:v>
      </x:c>
      <x:c r="AU1016" s="9"/>
      <x:c r="AV1016" s="9"/>
      <x:c r="AW1016" s="9"/>
      <x:c r="AX1016" s="9"/>
      <x:c r="AY1016" s="9"/>
      <x:c r="AZ1016" s="9"/>
      <x:c r="BA1016" s="11" t="str">
        <x:f>HYPERLINK("https://www.mobygames.com/search/?q=What+The+Dub%3F%21","MobyGames")</x:f>
        <x:v>MobyGames</x:v>
      </x:c>
      <x:c r="BB1016" s="9" t="str"/>
      <x:c r="BC1016" s="9" t="str"/>
      <x:c r="BD1016" s="9"/>
      <x:c r="BE1016" s="9"/>
      <x:c r="BF1016" s="11" t="str">
        <x:f>HYPERLINK("https://backloggd.com/search/games/What%20The%20Dub%3F%21/","Backloggd")</x:f>
        <x:v>Backloggd</x:v>
      </x:c>
      <x:c r="BG1016" s="9"/>
      <x:c r="BH1016" s="9"/>
      <x:c r="BI1016" s="12" t="str">
        <x:v>No</x:v>
      </x:c>
      <x:c r="BJ1016" s="12" t="str"/>
      <x:c r="BK1016" s="12" t="str">
        <x:v>No</x:v>
      </x:c>
      <x:c r="BL1016" s="12" t="str"/>
      <x:c r="BM1016" s="12" t="str"/>
      <x:c r="BN1016" s="12" t="str"/>
      <x:c r="BO1016" s="12" t="str"/>
      <x:c r="BP1016" s="12" t="str"/>
      <x:c r="BQ1016" s="12" t="str"/>
    </x:row>
    <x:row r="1017">
      <x:c r="A1017" s="9" t="str">
        <x:v>pc-336</x:v>
      </x:c>
      <x:c r="B1017" s="9" t="str">
        <x:v>rifftrax-the-game</x:v>
      </x:c>
      <x:c r="C1017" s="9" t="str">
        <x:v>PC</x:v>
      </x:c>
      <x:c r="D1017" s="9" t="str">
        <x:v>RiffTrax: The Game</x:v>
      </x:c>
      <x:c r="E1017" s="9" t="str"/>
      <x:c r="F1017" s="9" t="str">
        <x:v>Wide Right Interactive</x:v>
      </x:c>
      <x:c r="G1017" s="9" t="str">
        <x:v>Wide Right Interactive</x:v>
      </x:c>
      <x:c r="H1017" s="9" t="n">
        <x:v>2022</x:v>
      </x:c>
      <x:c r="I1017" s="9" t="str">
        <x:v>Yes</x:v>
      </x:c>
      <x:c r="J1017" s="9" t="str">
        <x:v>No</x:v>
      </x:c>
      <x:c r="K1017" s="9" t="str">
        <x:v>Yes</x:v>
      </x:c>
      <x:c r="L1017" s="9" t="str">
        <x:v>No</x:v>
      </x:c>
      <x:c r="M1017" s="9" t="str">
        <x:v>Party game over film clips</x:v>
      </x:c>
      <x:c r="N1017" s="9" t="str">
        <x:v>Film footage</x:v>
      </x:c>
      <x:c r="O1017" s="9" t="n">
        <x:v>8</x:v>
      </x:c>
      <x:c r="P1017" s="9" t="str">
        <x:v>Game show / trivia</x:v>
      </x:c>
      <x:c r="Q1017" s="9" t="str">
        <x:v>Released</x:v>
      </x:c>
      <x:c r="R1017" s="9" t="str">
        <x:v>Original production</x:v>
      </x:c>
      <x:c r="S1017" s="9"/>
      <x:c r="T1017" s="9" t="str">
        <x:v>Michael J. Nelson, Kevin Murphy, Bill Corbett (RiffTrax)</x:v>
      </x:c>
      <x:c r="U1017" s="9" t="n">
        <x:v>0</x:v>
      </x:c>
      <x:c r="V1017" s="9" t="str">
        <x:v>Yes</x:v>
      </x:c>
      <x:c r="W1017" s="9" t="str">
        <x:v>Windows 7; PS4, Xbox, Switch</x:v>
      </x:c>
      <x:c r="X1017" s="9" t="str">
        <x:v>Low</x:v>
      </x:c>
      <x:c r="Y1017" s="9" t="str"/>
      <x:c r="Z1017" s="9" t="str">
        <x:v>Open-ended</x:v>
      </x:c>
      <x:c r="AA1017" s="9" t="str">
        <x:v>What The Dub with the MST3K/RiffTrax crew: riff B-movie clips yourself or pick their lines.</x:v>
      </x:c>
      <x:c r="AB1017" s="9" t="str">
        <x:v>None known</x:v>
      </x:c>
      <x:c r="AC1017" s="9" t="str">
        <x:v>Streamed B-movie clips with RiffTrax audio</x:v>
      </x:c>
      <x:c r="AD1017" s="9" t="str">
        <x:v>Easy</x:v>
      </x:c>
      <x:c r="AE1017" s="9" t="str">
        <x:v>None</x:v>
      </x:c>
      <x:c r="AF1017" s="9" t="str">
        <x:v>Licensed from RiffTrax.</x:v>
      </x:c>
      <x:c r="AG1017" s="9" t="str">
        <x:v>Steam, consoles</x:v>
      </x:c>
      <x:c r="AH1017" s="9" t="str">
        <x:v>Yes (Steam, consoles)</x:v>
      </x:c>
      <x:c r="AI1017" s="9" t="str">
        <x:v>Easy</x:v>
      </x:c>
      <x:c r="AJ1017" s="9" t="str">
        <x:v>Steam</x:v>
      </x:c>
      <x:c r="AK1017" s="9"/>
      <x:c r="AL1017" s="10"/>
      <x:c r="AM1017" s="10"/>
      <x:c r="AN1017" s="10"/>
      <x:c r="AO1017" s="9"/>
      <x:c r="AP1017" s="11" t="str">
        <x:f>HYPERLINK("https://www.pricecharting.com/search-products?q=RiffTrax%3A+The+Game+pc+games&amp;type=prices","PriceCharting")</x:f>
        <x:v>PriceCharting</x:v>
      </x:c>
      <x:c r="AQ1017" s="9" t="n">
        <x:v>6.99</x:v>
      </x:c>
      <x:c r="AR1017" s="11" t="str">
        <x:v>Steam</x:v>
      </x:c>
      <x:c r="AS1017" s="9" t="str">
        <x:f>HYPERLINK("https://store.steampowered.com/app/1707870/","Store")</x:f>
        <x:v>Store</x:v>
      </x:c>
      <x:c r="AT1017" s="9" t="str">
        <x:v>2026-10-25</x:v>
      </x:c>
      <x:c r="AU1017" s="9"/>
      <x:c r="AV1017" s="9"/>
      <x:c r="AW1017" s="9"/>
      <x:c r="AX1017" s="9"/>
      <x:c r="AY1017" s="9"/>
      <x:c r="AZ1017" s="9"/>
      <x:c r="BA1017" s="11" t="str">
        <x:f>HYPERLINK("https://www.mobygames.com/search/?q=RiffTrax%3A+The+Game","MobyGames")</x:f>
        <x:v>MobyGames</x:v>
      </x:c>
      <x:c r="BB1017" s="9" t="str">
        <x:v>80%</x:v>
      </x:c>
      <x:c r="BC1017" s="9" t="str">
        <x:v>average of 3 reviews on Wikipedia (GSpot, SN, VB)</x:v>
      </x:c>
      <x:c r="BD1017" s="9" t="str">
        <x:f>HYPERLINK("https://en.wikipedia.org/wiki/RiffTrax%3A_The_Game","Source")</x:f>
        <x:v>Source</x:v>
      </x:c>
      <x:c r="BE1017" s="9"/>
      <x:c r="BF1017" s="11" t="str">
        <x:f>HYPERLINK("https://backloggd.com/search/games/RiffTrax%3A%20The%20Game/","Backloggd")</x:f>
        <x:v>Backloggd</x:v>
      </x:c>
      <x:c r="BG1017" s="9"/>
      <x:c r="BH1017" s="9"/>
      <x:c r="BI1017" s="12" t="str">
        <x:v>No</x:v>
      </x:c>
      <x:c r="BJ1017" s="12" t="str"/>
      <x:c r="BK1017" s="12" t="str">
        <x:v>No</x:v>
      </x:c>
      <x:c r="BL1017" s="12" t="str"/>
      <x:c r="BM1017" s="12" t="str"/>
      <x:c r="BN1017" s="12" t="str"/>
      <x:c r="BO1017" s="12" t="str"/>
      <x:c r="BP1017" s="12" t="str"/>
      <x:c r="BQ1017" s="12" t="str"/>
    </x:row>
    <x:row r="1018">
      <x:c r="A1018" s="9" t="str">
        <x:v>pc-337</x:v>
      </x:c>
      <x:c r="B1018" s="9" t="str">
        <x:v>obduction</x:v>
      </x:c>
      <x:c r="C1018" s="9" t="str">
        <x:v>PC</x:v>
      </x:c>
      <x:c r="D1018" s="9" t="str">
        <x:v>Obduction</x:v>
      </x:c>
      <x:c r="E1018" s="9" t="str"/>
      <x:c r="F1018" s="9" t="str">
        <x:v>Cyan</x:v>
      </x:c>
      <x:c r="G1018" s="9" t="str">
        <x:v>Cyan</x:v>
      </x:c>
      <x:c r="H1018" s="9" t="n">
        <x:v>2016</x:v>
      </x:c>
      <x:c r="I1018" s="9" t="str">
        <x:v>Yes</x:v>
      </x:c>
      <x:c r="J1018" s="9" t="str">
        <x:v>No</x:v>
      </x:c>
      <x:c r="K1018" s="9" t="str">
        <x:v>Yes</x:v>
      </x:c>
      <x:c r="L1018" s="9" t="str">
        <x:v>No</x:v>
      </x:c>
      <x:c r="M1018" s="9" t="str">
        <x:v>First-person puzzle adventure</x:v>
      </x:c>
      <x:c r="N1018" s="9" t="str">
        <x:v>Live-action</x:v>
      </x:c>
      <x:c r="O1018" s="9" t="n">
        <x:v>4</x:v>
      </x:c>
      <x:c r="P1018" s="9" t="str">
        <x:v>FMV adventure</x:v>
      </x:c>
      <x:c r="Q1018" s="9" t="str">
        <x:v>Released</x:v>
      </x:c>
      <x:c r="R1018" s="9" t="str">
        <x:v>Original production</x:v>
      </x:c>
      <x:c r="S1018" s="9"/>
      <x:c r="T1018" s="9" t="str">
        <x:v>Filmed actors composited into the 3D world (names verify)</x:v>
      </x:c>
      <x:c r="U1018" s="9" t="n">
        <x:v>0</x:v>
      </x:c>
      <x:c r="V1018" s="9" t="str">
        <x:v>Yes</x:v>
      </x:c>
      <x:c r="W1018" s="9" t="str">
        <x:v>Windows 7 64-bit, GTX 660; macOS; PS4, Xbox, Quest</x:v>
      </x:c>
      <x:c r="X1018" s="9" t="str">
        <x:v>Low</x:v>
      </x:c>
      <x:c r="Y1018" s="9" t="str"/>
      <x:c r="Z1018" s="9" t="str">
        <x:v>12–15 hr</x:v>
      </x:c>
      <x:c r="AA1018" s="9" t="str">
        <x:v>Cyan's Kickstarter return to Myst put filmed actors back into a real-time world, the way Riven did.</x:v>
      </x:c>
      <x:c r="AB1018" s="9" t="str">
        <x:v>None known</x:v>
      </x:c>
      <x:c r="AC1018" s="9" t="str">
        <x:v>Live-action characters composited into the Unreal 4 world</x:v>
      </x:c>
      <x:c r="AD1018" s="9" t="str">
        <x:v>Hard; Myst-style puzzles</x:v>
      </x:c>
      <x:c r="AE1018" s="9" t="str">
        <x:v>Several</x:v>
      </x:c>
      <x:c r="AF1018" s="9" t="str">
        <x:v>Metacritic 76 (verify). Kickstarter 2013, release 2016.</x:v>
      </x:c>
      <x:c r="AG1018" s="9" t="str">
        <x:v>Steam, GOG, PS4, Xbox, Quest, Mac</x:v>
      </x:c>
      <x:c r="AH1018" s="9" t="str">
        <x:v>Yes (Steam, GOG, PS4, Xbox)</x:v>
      </x:c>
      <x:c r="AI1018" s="9" t="str">
        <x:v>Easy</x:v>
      </x:c>
      <x:c r="AJ1018" s="9" t="str">
        <x:v>Steam or GOG</x:v>
      </x:c>
      <x:c r="AK1018" s="9"/>
      <x:c r="AL1018" s="10"/>
      <x:c r="AM1018" s="10"/>
      <x:c r="AN1018" s="10"/>
      <x:c r="AO1018" s="9"/>
      <x:c r="AP1018" s="11" t="str">
        <x:f>HYPERLINK("https://www.pricecharting.com/search-products?q=Obduction+pc+games&amp;type=prices","PriceCharting")</x:f>
        <x:v>PriceCharting</x:v>
      </x:c>
      <x:c r="AQ1018" s="9" t="n">
        <x:v>11.99</x:v>
      </x:c>
      <x:c r="AR1018" s="11" t="str">
        <x:v>GOG</x:v>
      </x:c>
      <x:c r="AS1018" s="9" t="str">
        <x:f>HYPERLINK("https://www.gog.com/en/game/obduction","Store")</x:f>
        <x:v>Store</x:v>
      </x:c>
      <x:c r="AT1018" s="9" t="str">
        <x:v>2026-10-25</x:v>
      </x:c>
      <x:c r="AU1018" s="9"/>
      <x:c r="AV1018" s="9"/>
      <x:c r="AW1018" s="9"/>
      <x:c r="AX1018" s="9"/>
      <x:c r="AY1018" s="9" t="str">
        <x:v>80%</x:v>
      </x:c>
      <x:c r="AZ1018" s="9" t="str">
        <x:v>4.2</x:v>
      </x:c>
      <x:c r="BA1018" s="11" t="str">
        <x:f>HYPERLINK("https://www.mobygames.com/game/windows/obduction","MobyGames")</x:f>
        <x:v>MobyGames</x:v>
      </x:c>
      <x:c r="BB1018" s="9" t="str">
        <x:v>77%</x:v>
      </x:c>
      <x:c r="BC1018" s="9" t="str">
        <x:v>GameRankings, 16 reviews</x:v>
      </x:c>
      <x:c r="BD1018" s="9" t="str">
        <x:f>HYPERLINK("https://web.archive.org/web/20191209015747id_/https://www.gamerankings.com/pc/178208-obduction/","Source")</x:f>
        <x:v>Source</x:v>
      </x:c>
      <x:c r="BE1018" s="11" t="str">
        <x:f>HYPERLINK("https://en.wikipedia.org/wiki/Obduction_(video_game)","Wikipedia")</x:f>
        <x:v>Wikipedia</x:v>
      </x:c>
      <x:c r="BF1018" s="11" t="str">
        <x:f>HYPERLINK("https://backloggd.com/search/games/Obduction/","Backloggd")</x:f>
        <x:v>Backloggd</x:v>
      </x:c>
      <x:c r="BG1018" s="9"/>
      <x:c r="BH1018" s="9"/>
      <x:c r="BI1018" s="12" t="str">
        <x:v>No</x:v>
      </x:c>
      <x:c r="BJ1018" s="12" t="str"/>
      <x:c r="BK1018" s="12" t="str">
        <x:v>No</x:v>
      </x:c>
      <x:c r="BL1018" s="12" t="str"/>
      <x:c r="BM1018" s="12" t="str"/>
      <x:c r="BN1018" s="12" t="str"/>
      <x:c r="BO1018" s="12" t="str"/>
      <x:c r="BP1018" s="12" t="str"/>
      <x:c r="BQ1018" s="12" t="str"/>
    </x:row>
    <x:row r="1019">
      <x:c r="A1019" s="9" t="str">
        <x:v>segacd-72</x:v>
      </x:c>
      <x:c r="B1019" s="9" t="str">
        <x:v>star-strike</x:v>
      </x:c>
      <x:c r="C1019" s="9" t="str">
        <x:v>Sega CD</x:v>
      </x:c>
      <x:c r="D1019" s="9" t="str">
        <x:v>Star Strike</x:v>
      </x:c>
      <x:c r="E1019" s="9" t="str"/>
      <x:c r="F1019" s="9" t="str">
        <x:v>Digital Pictures</x:v>
      </x:c>
      <x:c r="G1019" s="9" t="str">
        <x:v>Good Deal Games</x:v>
      </x:c>
      <x:c r="H1019" s="9" t="n">
        <x:v>2001</x:v>
      </x:c>
      <x:c r="I1019" s="9" t="str">
        <x:v>Yes</x:v>
      </x:c>
      <x:c r="J1019" s="9" t="str">
        <x:v>No</x:v>
      </x:c>
      <x:c r="K1019" s="9" t="str">
        <x:v>Yes</x:v>
      </x:c>
      <x:c r="L1019" s="9" t="str">
        <x:v>No</x:v>
      </x:c>
      <x:c r="M1019" s="9" t="str">
        <x:v>FMV rail shooter</x:v>
      </x:c>
      <x:c r="N1019" s="9" t="str">
        <x:v>Live-action</x:v>
      </x:c>
      <x:c r="O1019" s="9" t="n">
        <x:v>10</x:v>
      </x:c>
      <x:c r="P1019" s="9" t="str">
        <x:v>Post-cancellation release</x:v>
      </x:c>
      <x:c r="Q1019" s="9" t="str">
        <x:v>Released post-cancellation</x:v>
      </x:c>
      <x:c r="R1019" s="9" t="str">
        <x:v>Original production</x:v>
      </x:c>
      <x:c r="S1019" s="9"/>
      <x:c r="T1019" s="9" t="str">
        <x:v>Digital Pictures cast (names verify)</x:v>
      </x:c>
      <x:c r="U1019" s="9" t="n">
        <x:v>1</x:v>
      </x:c>
      <x:c r="V1019" s="9" t="str">
        <x:v>Yes</x:v>
      </x:c>
      <x:c r="W1019" s="9" t="str">
        <x:v>Sega CD</x:v>
      </x:c>
      <x:c r="X1019" s="9" t="str">
        <x:v>Low</x:v>
      </x:c>
      <x:c r="Y1019" s="9" t="str"/>
      <x:c r="Z1019" s="9" t="str">
        <x:v>1 hr</x:v>
      </x:c>
      <x:c r="AA1019" s="9" t="str">
        <x:v>Digital Pictures' unreleased space shooter, finished and sold by Good Deal Games like Bug Blasters; verify the year.</x:v>
      </x:c>
      <x:c r="AB1019" s="9" t="str">
        <x:v>None known</x:v>
      </x:c>
      <x:c r="AC1019" s="9" t="str">
        <x:v>Shoot over streamed live-action space footage</x:v>
      </x:c>
      <x:c r="AD1019" s="9" t="str">
        <x:v>Moderate</x:v>
      </x:c>
      <x:c r="AE1019" s="9" t="str">
        <x:v>One</x:v>
      </x:c>
      <x:c r="AF1019" s="9" t="str">
        <x:v>Good Deal Games released it with Bug Blasters: The Exterminators (segacd-64) from Digital Pictures' leftovers (verify year and run).</x:v>
      </x:c>
      <x:c r="AG1019" s="9" t="str">
        <x:v>Good Deal Games limited run</x:v>
      </x:c>
      <x:c r="AH1019" s="9" t="str">
        <x:v>No</x:v>
      </x:c>
      <x:c r="AI1019" s="9" t="str">
        <x:v>Expensive</x:v>
      </x:c>
      <x:c r="AJ1019" s="9" t="str">
        <x:v>Original disc; Sega CD emulation</x:v>
      </x:c>
      <x:c r="AK1019" s="9" t="str">
        <x:v>FMV World lists it as 2000; Sega-16 reviewed the Good Deal Games release.</x:v>
      </x:c>
      <x:c r="AL1019" s="10" t="n">
        <x:v>199</x:v>
      </x:c>
      <x:c r="AM1019" s="10" t="n">
        <x:v>255.75</x:v>
      </x:c>
      <x:c r="AN1019" s="10"/>
      <x:c r="AO1019" s="9" t="str">
        <x:v>2026-10-25</x:v>
      </x:c>
      <x:c r="AP1019" s="11" t="str">
        <x:f>HYPERLINK("https://www.pricecharting.com/game/sega-cd/star-strike-homebrew","PriceCharting")</x:f>
        <x:v>PriceCharting</x:v>
      </x:c>
      <x:c r="AQ1019" s="9"/>
      <x:c r="AR1019" s="9"/>
      <x:c r="AS1019" s="9"/>
      <x:c r="AT1019" s="9"/>
      <x:c r="AU1019" s="9"/>
      <x:c r="AV1019" s="9"/>
      <x:c r="AW1019" s="9"/>
      <x:c r="AX1019" s="9"/>
      <x:c r="AY1019" s="9"/>
      <x:c r="AZ1019" s="9"/>
      <x:c r="BA1019" s="11" t="str">
        <x:f>HYPERLINK("https://www.mobygames.com/search/?q=Star+Strike","MobyGames")</x:f>
        <x:v>MobyGames</x:v>
      </x:c>
      <x:c r="BB1019" s="9" t="str">
        <x:v>70%</x:v>
      </x:c>
      <x:c r="BC1019" s="9" t="str">
        <x:v>GameRankings, 1 review</x:v>
      </x:c>
      <x:c r="BD1019" s="9" t="str">
        <x:f>HYPERLINK("https://web.archive.org/web/20191209014421id_/https://www.gamerankings.com/segacd/565338-star-strike/","Source")</x:f>
        <x:v>Source</x:v>
      </x:c>
      <x:c r="BE1019" s="9"/>
      <x:c r="BF1019" s="11" t="str">
        <x:f>HYPERLINK("https://backloggd.com/search/games/Star%20Strike/","Backloggd")</x:f>
        <x:v>Backloggd</x:v>
      </x:c>
      <x:c r="BG1019" s="9"/>
      <x:c r="BH1019" s="9"/>
      <x:c r="BI1019" s="12" t="str">
        <x:v>No</x:v>
      </x:c>
      <x:c r="BJ1019" s="12" t="str"/>
      <x:c r="BK1019" s="12" t="str">
        <x:v>No</x:v>
      </x:c>
      <x:c r="BL1019" s="12" t="str"/>
      <x:c r="BM1019" s="12" t="str"/>
      <x:c r="BN1019" s="12" t="str"/>
      <x:c r="BO1019" s="12" t="str"/>
      <x:c r="BP1019" s="12" t="str"/>
      <x:c r="BQ1019" s="12" t="str"/>
    </x:row>
    <x:row r="1020">
      <x:c r="A1020" s="9" t="str">
        <x:v>segacd-73</x:v>
      </x:c>
      <x:c r="B1020" s="9" t="str">
        <x:v>the-terminator-sega-cd</x:v>
      </x:c>
      <x:c r="C1020" s="9" t="str">
        <x:v>Sega CD</x:v>
      </x:c>
      <x:c r="D1020" s="9" t="str">
        <x:v>The Terminator</x:v>
      </x:c>
      <x:c r="E1020" s="9" t="str"/>
      <x:c r="F1020" s="9" t="str">
        <x:v>Virgin Games</x:v>
      </x:c>
      <x:c r="G1020" s="9" t="str">
        <x:v>Virgin Games</x:v>
      </x:c>
      <x:c r="H1020" s="9" t="n">
        <x:v>1993</x:v>
      </x:c>
      <x:c r="I1020" s="9" t="str">
        <x:v>Yes</x:v>
      </x:c>
      <x:c r="J1020" s="9" t="str">
        <x:v>No</x:v>
      </x:c>
      <x:c r="K1020" s="9" t="str">
        <x:v>Yes</x:v>
      </x:c>
      <x:c r="L1020" s="9" t="str">
        <x:v>No</x:v>
      </x:c>
      <x:c r="M1020" s="9" t="str">
        <x:v>Run-and-gun platformer</x:v>
      </x:c>
      <x:c r="N1020" s="9" t="str">
        <x:v>Film footage</x:v>
      </x:c>
      <x:c r="O1020" s="9" t="n">
        <x:v>2</x:v>
      </x:c>
      <x:c r="P1020" s="9" t="str">
        <x:v>Cutscenes only</x:v>
      </x:c>
      <x:c r="Q1020" s="9" t="str">
        <x:v>Released</x:v>
      </x:c>
      <x:c r="R1020" s="9" t="str">
        <x:v>Original production</x:v>
      </x:c>
      <x:c r="S1020" s="9"/>
      <x:c r="T1020" s="9" t="str">
        <x:v>Film clips of Arnold Schwarzenegger and Michael Biehn</x:v>
      </x:c>
      <x:c r="U1020" s="9" t="n">
        <x:v>1</x:v>
      </x:c>
      <x:c r="V1020" s="9" t="str">
        <x:v>Yes</x:v>
      </x:c>
      <x:c r="W1020" s="9" t="str">
        <x:v>Sega CD</x:v>
      </x:c>
      <x:c r="X1020" s="9" t="str">
        <x:v>HIGH</x:v>
      </x:c>
      <x:c r="Y1020" s="9" t="str">
        <x:v>Terminator film footage and Tommy Tallarico score</x:v>
      </x:c>
      <x:c r="Z1020" s="9" t="str">
        <x:v>1–2 hr</x:v>
      </x:c>
      <x:c r="AA1020" s="9" t="str">
        <x:v>The Sega CD Terminator opens and links its levels with clips from the film over Tommy Tallarico's CD soundtrack.</x:v>
      </x:c>
      <x:c r="AB1020" s="9" t="str">
        <x:v>None known</x:v>
      </x:c>
      <x:c r="AC1020" s="9" t="str">
        <x:v>Film clips as intro and between levels</x:v>
      </x:c>
      <x:c r="AD1020" s="9" t="str">
        <x:v>Hard</x:v>
      </x:c>
      <x:c r="AE1020" s="9" t="str">
        <x:v>One</x:v>
      </x:c>
      <x:c r="AF1020" s="9" t="str">
        <x:v>Praised for its soundtrack; one of the better film licences on the system.</x:v>
      </x:c>
      <x:c r="AG1020" s="9" t="str">
        <x:v>Sega CD; different from the Genesis cartridge</x:v>
      </x:c>
      <x:c r="AH1020" s="9" t="str">
        <x:v>No</x:v>
      </x:c>
      <x:c r="AI1020" s="9" t="str">
        <x:v>Easy</x:v>
      </x:c>
      <x:c r="AJ1020" s="9" t="str">
        <x:v>Original disc; Sega CD emulation</x:v>
      </x:c>
      <x:c r="AK1020" s="9"/>
      <x:c r="AL1020" s="10" t="n">
        <x:v>87.93</x:v>
      </x:c>
      <x:c r="AM1020" s="10" t="n">
        <x:v>210.48</x:v>
      </x:c>
      <x:c r="AN1020" s="10" t="n">
        <x:v>302.47</x:v>
      </x:c>
      <x:c r="AO1020" s="9" t="str">
        <x:v>2026-10-25</x:v>
      </x:c>
      <x:c r="AP1020" s="11" t="str">
        <x:f>HYPERLINK("https://www.pricecharting.com/game/sega-cd/terminator","PriceCharting")</x:f>
        <x:v>PriceCharting</x:v>
      </x:c>
      <x:c r="AQ1020" s="9"/>
      <x:c r="AR1020" s="9"/>
      <x:c r="AS1020" s="9"/>
      <x:c r="AT1020" s="9"/>
      <x:c r="AU1020" s="9"/>
      <x:c r="AV1020" s="9"/>
      <x:c r="AW1020" s="9"/>
      <x:c r="AX1020" s="9"/>
      <x:c r="AY1020" s="9"/>
      <x:c r="AZ1020" s="9"/>
      <x:c r="BA1020" s="11" t="str">
        <x:f>HYPERLINK("https://www.mobygames.com/search/?q=The+Terminator","MobyGames")</x:f>
        <x:v>MobyGames</x:v>
      </x:c>
      <x:c r="BB1020" s="9" t="str">
        <x:v>75%</x:v>
      </x:c>
      <x:c r="BC1020" s="9" t="str">
        <x:v>average of 14 reviews on Wikipedia (Allgame, CP, GP, Game Power, JP, JXV, Mega, MegaForce, MegaTech, PO, Sega Power, Sega Zone, Supersonic, VGS)</x:v>
      </x:c>
      <x:c r="BD1020" s="9" t="str">
        <x:f>HYPERLINK("https://en.wikipedia.org/wiki/The_Terminator_%28Sega_CD_video_game%29","Source")</x:f>
        <x:v>Source</x:v>
      </x:c>
      <x:c r="BE1020" s="9"/>
      <x:c r="BF1020" s="11" t="str">
        <x:f>HYPERLINK("https://backloggd.com/search/games/The%20Terminator/","Backloggd")</x:f>
        <x:v>Backloggd</x:v>
      </x:c>
      <x:c r="BG1020" s="9"/>
      <x:c r="BH1020" s="9"/>
      <x:c r="BI1020" s="12" t="str">
        <x:v>No</x:v>
      </x:c>
      <x:c r="BJ1020" s="12" t="str"/>
      <x:c r="BK1020" s="12" t="str">
        <x:v>No</x:v>
      </x:c>
      <x:c r="BL1020" s="12" t="str"/>
      <x:c r="BM1020" s="12" t="str"/>
      <x:c r="BN1020" s="12" t="str"/>
      <x:c r="BO1020" s="12" t="str"/>
      <x:c r="BP1020" s="12" t="str"/>
      <x:c r="BQ1020" s="12" t="str"/>
    </x:row>
    <x:row r="1021">
      <x:c r="A1021" s="9" t="str">
        <x:v>segacd-74</x:v>
      </x:c>
      <x:c r="B1021" s="9" t="str">
        <x:v>hook-sega-cd</x:v>
      </x:c>
      <x:c r="C1021" s="9" t="str">
        <x:v>Sega CD</x:v>
      </x:c>
      <x:c r="D1021" s="9" t="str">
        <x:v>Hook</x:v>
      </x:c>
      <x:c r="E1021" s="9" t="str"/>
      <x:c r="F1021" s="9" t="str">
        <x:v>Core Design (verify)</x:v>
      </x:c>
      <x:c r="G1021" s="9" t="str">
        <x:v>Sony Imagesoft</x:v>
      </x:c>
      <x:c r="H1021" s="9" t="n">
        <x:v>1992</x:v>
      </x:c>
      <x:c r="I1021" s="9" t="str">
        <x:v>Yes</x:v>
      </x:c>
      <x:c r="J1021" s="9" t="str">
        <x:v>No</x:v>
      </x:c>
      <x:c r="K1021" s="9" t="str">
        <x:v>Yes</x:v>
      </x:c>
      <x:c r="L1021" s="9" t="str">
        <x:v>No</x:v>
      </x:c>
      <x:c r="M1021" s="9" t="str">
        <x:v>Platformer</x:v>
      </x:c>
      <x:c r="N1021" s="9" t="str">
        <x:v>Film footage</x:v>
      </x:c>
      <x:c r="O1021" s="9" t="n">
        <x:v>2</x:v>
      </x:c>
      <x:c r="P1021" s="9" t="str">
        <x:v>Cutscenes only</x:v>
      </x:c>
      <x:c r="Q1021" s="9" t="str">
        <x:v>Released</x:v>
      </x:c>
      <x:c r="R1021" s="9" t="str">
        <x:v>Original production</x:v>
      </x:c>
      <x:c r="S1021" s="9"/>
      <x:c r="T1021" s="9" t="str">
        <x:v>Film clips of Robin Williams and Dustin Hoffman</x:v>
      </x:c>
      <x:c r="U1021" s="9" t="n">
        <x:v>1</x:v>
      </x:c>
      <x:c r="V1021" s="9" t="str">
        <x:v>Yes</x:v>
      </x:c>
      <x:c r="W1021" s="9" t="str">
        <x:v>Sega CD</x:v>
      </x:c>
      <x:c r="X1021" s="9" t="str">
        <x:v>HIGH</x:v>
      </x:c>
      <x:c r="Y1021" s="9" t="str">
        <x:v>Hook film footage and John Williams score</x:v>
      </x:c>
      <x:c r="Z1021" s="9" t="str">
        <x:v>1–2 hr</x:v>
      </x:c>
      <x:c r="AA1021" s="9" t="str">
        <x:v>Sony Imagesoft's Hook on Sega CD adds clips from the Spielberg film and its score to the platformer (verify).</x:v>
      </x:c>
      <x:c r="AB1021" s="9" t="str">
        <x:v>None known</x:v>
      </x:c>
      <x:c r="AC1021" s="9" t="str">
        <x:v>Film clips in the intro and between stages (verify)</x:v>
      </x:c>
      <x:c r="AD1021" s="9" t="str">
        <x:v>Moderate</x:v>
      </x:c>
      <x:c r="AE1021" s="9" t="str">
        <x:v>One</x:v>
      </x:c>
      <x:c r="AF1021" s="9" t="str">
        <x:v>Facts verify.</x:v>
      </x:c>
      <x:c r="AG1021" s="9" t="str">
        <x:v>Sega CD</x:v>
      </x:c>
      <x:c r="AH1021" s="9" t="str">
        <x:v>No</x:v>
      </x:c>
      <x:c r="AI1021" s="9" t="str">
        <x:v>Easy</x:v>
      </x:c>
      <x:c r="AJ1021" s="9" t="str">
        <x:v>Original disc; Sega CD emulation</x:v>
      </x:c>
      <x:c r="AK1021" s="9"/>
      <x:c r="AL1021" s="10" t="n">
        <x:v>19.49</x:v>
      </x:c>
      <x:c r="AM1021" s="10" t="n">
        <x:v>60</x:v>
      </x:c>
      <x:c r="AN1021" s="10" t="n">
        <x:v>125</x:v>
      </x:c>
      <x:c r="AO1021" s="9" t="str">
        <x:v>2026-10-25</x:v>
      </x:c>
      <x:c r="AP1021" s="11" t="str">
        <x:f>HYPERLINK("https://www.pricecharting.com/game/sega-cd/hook","PriceCharting")</x:f>
        <x:v>PriceCharting</x:v>
      </x:c>
      <x:c r="AQ1021" s="9"/>
      <x:c r="AR1021" s="9"/>
      <x:c r="AS1021" s="9"/>
      <x:c r="AT1021" s="9"/>
      <x:c r="AU1021" s="9"/>
      <x:c r="AV1021" s="9"/>
      <x:c r="AW1021" s="9"/>
      <x:c r="AX1021" s="9"/>
      <x:c r="AY1021" s="9"/>
      <x:c r="AZ1021" s="9"/>
      <x:c r="BA1021" s="11" t="str">
        <x:f>HYPERLINK("https://www.mobygames.com/search/?q=Hook","MobyGames")</x:f>
        <x:v>MobyGames</x:v>
      </x:c>
      <x:c r="BB1021" s="9" t="str">
        <x:v>50%</x:v>
      </x:c>
      <x:c r="BC1021" s="9" t="str">
        <x:v>GameRankings, 1 review</x:v>
      </x:c>
      <x:c r="BD1021" s="9" t="str">
        <x:f>HYPERLINK("https://web.archive.org/web/20191209011336id_/https://www.gamerankings.com/segacd/922270-hook/","Source")</x:f>
        <x:v>Source</x:v>
      </x:c>
      <x:c r="BE1021" s="9"/>
      <x:c r="BF1021" s="11" t="str">
        <x:f>HYPERLINK("https://backloggd.com/search/games/Hook/","Backloggd")</x:f>
        <x:v>Backloggd</x:v>
      </x:c>
      <x:c r="BG1021" s="9"/>
      <x:c r="BH1021" s="9"/>
      <x:c r="BI1021" s="12" t="str">
        <x:v>No</x:v>
      </x:c>
      <x:c r="BJ1021" s="12" t="str"/>
      <x:c r="BK1021" s="12" t="str">
        <x:v>No</x:v>
      </x:c>
      <x:c r="BL1021" s="12" t="str"/>
      <x:c r="BM1021" s="12" t="str"/>
      <x:c r="BN1021" s="12" t="str"/>
      <x:c r="BO1021" s="12" t="str"/>
      <x:c r="BP1021" s="12" t="str"/>
      <x:c r="BQ1021" s="12" t="str"/>
    </x:row>
    <x:row r="1022">
      <x:c r="A1022" s="9" t="str">
        <x:v>segacd-75</x:v>
      </x:c>
      <x:c r="B1022" s="9" t="str">
        <x:v>mary-shelleys-frankenstein-sega-cd</x:v>
      </x:c>
      <x:c r="C1022" s="9" t="str">
        <x:v>Sega CD</x:v>
      </x:c>
      <x:c r="D1022" s="9" t="str">
        <x:v>Mary Shelley's Frankenstein</x:v>
      </x:c>
      <x:c r="E1022" s="9" t="str"/>
      <x:c r="F1022" s="9" t="str">
        <x:v>Bits Studios (verify)</x:v>
      </x:c>
      <x:c r="G1022" s="9" t="str">
        <x:v>Sony Imagesoft</x:v>
      </x:c>
      <x:c r="H1022" s="9" t="n">
        <x:v>1994</x:v>
      </x:c>
      <x:c r="I1022" s="9" t="str">
        <x:v>Yes</x:v>
      </x:c>
      <x:c r="J1022" s="9" t="str">
        <x:v>No</x:v>
      </x:c>
      <x:c r="K1022" s="9" t="str">
        <x:v>Yes</x:v>
      </x:c>
      <x:c r="L1022" s="9" t="str">
        <x:v>No</x:v>
      </x:c>
      <x:c r="M1022" s="9" t="str">
        <x:v>Platformer</x:v>
      </x:c>
      <x:c r="N1022" s="9" t="str">
        <x:v>Film footage</x:v>
      </x:c>
      <x:c r="O1022" s="9" t="n">
        <x:v>2</x:v>
      </x:c>
      <x:c r="P1022" s="9" t="str">
        <x:v>Cutscenes only</x:v>
      </x:c>
      <x:c r="Q1022" s="9" t="str">
        <x:v>Released</x:v>
      </x:c>
      <x:c r="R1022" s="9" t="str">
        <x:v>Original production</x:v>
      </x:c>
      <x:c r="S1022" s="9"/>
      <x:c r="T1022" s="9" t="str">
        <x:v>Film clips of Robert De Niro and Kenneth Branagh</x:v>
      </x:c>
      <x:c r="U1022" s="9" t="n">
        <x:v>1</x:v>
      </x:c>
      <x:c r="V1022" s="9" t="str">
        <x:v>Yes</x:v>
      </x:c>
      <x:c r="W1022" s="9" t="str">
        <x:v>Sega CD</x:v>
      </x:c>
      <x:c r="X1022" s="9" t="str">
        <x:v>HIGH</x:v>
      </x:c>
      <x:c r="Y1022" s="9" t="str">
        <x:v>Film footage</x:v>
      </x:c>
      <x:c r="Z1022" s="9" t="str">
        <x:v>1–2 hr</x:v>
      </x:c>
      <x:c r="AA1022" s="9" t="str">
        <x:v>The 1994 film's platformer with its footage cut in between levels; the Sega CD disc pairs with Bram Stoker's Dracula (segacd-57).</x:v>
      </x:c>
      <x:c r="AB1022" s="9" t="str">
        <x:v>None known</x:v>
      </x:c>
      <x:c r="AC1022" s="9" t="str">
        <x:v>Film clips between levels (verify)</x:v>
      </x:c>
      <x:c r="AD1022" s="9" t="str">
        <x:v>Hard</x:v>
      </x:c>
      <x:c r="AE1022" s="9" t="str">
        <x:v>One</x:v>
      </x:c>
      <x:c r="AF1022" s="9" t="str">
        <x:v>Also released as a 'Frankenstein and Dracula' double pack (verify).</x:v>
      </x:c>
      <x:c r="AG1022" s="9" t="str">
        <x:v>Sega CD; Genesis and SNES cartridges without video</x:v>
      </x:c>
      <x:c r="AH1022" s="9" t="str">
        <x:v>No</x:v>
      </x:c>
      <x:c r="AI1022" s="9" t="str">
        <x:v>Easy</x:v>
      </x:c>
      <x:c r="AJ1022" s="9" t="str">
        <x:v>Original disc; Sega CD emulation</x:v>
      </x:c>
      <x:c r="AK1022" s="9"/>
      <x:c r="AL1022" s="10"/>
      <x:c r="AM1022" s="10"/>
      <x:c r="AN1022" s="10"/>
      <x:c r="AO1022" s="9"/>
      <x:c r="AP1022" s="11" t="str">
        <x:f>HYPERLINK("https://www.pricecharting.com/search-products?q=Mary+Shelley%27s+Frankenstein+sega+cd&amp;type=prices","PriceCharting")</x:f>
        <x:v>PriceCharting</x:v>
      </x:c>
      <x:c r="AQ1022" s="9"/>
      <x:c r="AR1022" s="9"/>
      <x:c r="AS1022" s="9"/>
      <x:c r="AT1022" s="9"/>
      <x:c r="AU1022" s="9"/>
      <x:c r="AV1022" s="9"/>
      <x:c r="AW1022" s="9"/>
      <x:c r="AX1022" s="9"/>
      <x:c r="AY1022" s="9"/>
      <x:c r="AZ1022" s="9"/>
      <x:c r="BA1022" s="11" t="str">
        <x:f>HYPERLINK("https://www.mobygames.com/search/?q=Mary+Shelley%27s+Frankenstein","MobyGames")</x:f>
        <x:v>MobyGames</x:v>
      </x:c>
      <x:c r="BB1022" s="9" t="str"/>
      <x:c r="BC1022" s="9" t="str"/>
      <x:c r="BD1022" s="9"/>
      <x:c r="BE1022" s="9"/>
      <x:c r="BF1022" s="11" t="str">
        <x:f>HYPERLINK("https://backloggd.com/search/games/Mary%20Shelley%27s%20Frankenstein/","Backloggd")</x:f>
        <x:v>Backloggd</x:v>
      </x:c>
      <x:c r="BG1022" s="9"/>
      <x:c r="BH1022" s="9"/>
      <x:c r="BI1022" s="12" t="str">
        <x:v>No</x:v>
      </x:c>
      <x:c r="BJ1022" s="12" t="str"/>
      <x:c r="BK1022" s="12" t="str">
        <x:v>No</x:v>
      </x:c>
      <x:c r="BL1022" s="12" t="str"/>
      <x:c r="BM1022" s="12" t="str"/>
      <x:c r="BN1022" s="12" t="str"/>
      <x:c r="BO1022" s="12" t="str"/>
      <x:c r="BP1022" s="12" t="str"/>
      <x:c r="BQ1022" s="12" t="str"/>
    </x:row>
    <x:row r="1023">
      <x:c r="A1023" s="9" t="str">
        <x:v>segacd-76</x:v>
      </x:c>
      <x:c r="B1023" s="9" t="str">
        <x:v>ultraverse-prime</x:v>
      </x:c>
      <x:c r="C1023" s="9" t="str">
        <x:v>Sega CD</x:v>
      </x:c>
      <x:c r="D1023" s="9" t="str">
        <x:v>Ultraverse Prime</x:v>
      </x:c>
      <x:c r="E1023" s="9" t="str"/>
      <x:c r="F1023" s="9" t="str">
        <x:v>Malibu Interactive</x:v>
      </x:c>
      <x:c r="G1023" s="9" t="str">
        <x:v>Malibu Interactive</x:v>
      </x:c>
      <x:c r="H1023" s="9" t="n">
        <x:v>1994</x:v>
      </x:c>
      <x:c r="I1023" s="9" t="str">
        <x:v>Yes</x:v>
      </x:c>
      <x:c r="J1023" s="9" t="str">
        <x:v>No</x:v>
      </x:c>
      <x:c r="K1023" s="9" t="str">
        <x:v>Yes</x:v>
      </x:c>
      <x:c r="L1023" s="9" t="str">
        <x:v>No</x:v>
      </x:c>
      <x:c r="M1023" s="9" t="str">
        <x:v>Beat 'em up</x:v>
      </x:c>
      <x:c r="N1023" s="9" t="str">
        <x:v>Animated video</x:v>
      </x:c>
      <x:c r="O1023" s="9" t="n">
        <x:v>2</x:v>
      </x:c>
      <x:c r="P1023" s="9" t="str">
        <x:v>Cutscenes only</x:v>
      </x:c>
      <x:c r="Q1023" s="9" t="str">
        <x:v>Released</x:v>
      </x:c>
      <x:c r="R1023" s="9" t="str">
        <x:v>Original production</x:v>
      </x:c>
      <x:c r="S1023" s="9"/>
      <x:c r="T1023" s="9" t="str">
        <x:v>None (animation)</x:v>
      </x:c>
      <x:c r="U1023" s="9" t="n">
        <x:v>1</x:v>
      </x:c>
      <x:c r="V1023" s="9" t="str">
        <x:v>Yes</x:v>
      </x:c>
      <x:c r="W1023" s="9" t="str">
        <x:v>Sega CD</x:v>
      </x:c>
      <x:c r="X1023" s="9" t="str">
        <x:v>Low</x:v>
      </x:c>
      <x:c r="Y1023" s="9" t="str"/>
      <x:c r="Z1023" s="9" t="str">
        <x:v>1 hr</x:v>
      </x:c>
      <x:c r="AA1023" s="9" t="str">
        <x:v>Malibu Comics' Prime on Sega CD with animated comic-style video, sold on a disc with Microcosm in Europe.</x:v>
      </x:c>
      <x:c r="AB1023" s="9" t="str">
        <x:v>None known</x:v>
      </x:c>
      <x:c r="AC1023" s="9" t="str">
        <x:v>Animated intro and cutscenes from the comic (verify)</x:v>
      </x:c>
      <x:c r="AD1023" s="9" t="str">
        <x:v>Moderate</x:v>
      </x:c>
      <x:c r="AE1023" s="9" t="str">
        <x:v>One</x:v>
      </x:c>
      <x:c r="AF1023" s="9" t="str">
        <x:v>Bundled with Microcosm as 'Prime / Microcosm' in Europe.</x:v>
      </x:c>
      <x:c r="AG1023" s="9" t="str">
        <x:v>Sega CD; European double disc with Microcosm</x:v>
      </x:c>
      <x:c r="AH1023" s="9" t="str">
        <x:v>No</x:v>
      </x:c>
      <x:c r="AI1023" s="9" t="str">
        <x:v>Easy</x:v>
      </x:c>
      <x:c r="AJ1023" s="9" t="str">
        <x:v>Original disc; Sega CD emulation</x:v>
      </x:c>
      <x:c r="AK1023" s="9"/>
      <x:c r="AL1023" s="10" t="n">
        <x:v>29.99</x:v>
      </x:c>
      <x:c r="AM1023" s="10" t="n">
        <x:v>59.99</x:v>
      </x:c>
      <x:c r="AN1023" s="10" t="n">
        <x:v>108</x:v>
      </x:c>
      <x:c r="AO1023" s="9" t="str">
        <x:v>2026-10-25</x:v>
      </x:c>
      <x:c r="AP1023" s="11" t="str">
        <x:f>HYPERLINK("https://www.pricecharting.com/game/sega-cd/ultraverse-prime","PriceCharting")</x:f>
        <x:v>PriceCharting</x:v>
      </x:c>
      <x:c r="AQ1023" s="9"/>
      <x:c r="AR1023" s="9"/>
      <x:c r="AS1023" s="9"/>
      <x:c r="AT1023" s="9"/>
      <x:c r="AU1023" s="9"/>
      <x:c r="AV1023" s="9"/>
      <x:c r="AW1023" s="9"/>
      <x:c r="AX1023" s="9"/>
      <x:c r="AY1023" s="9"/>
      <x:c r="AZ1023" s="9"/>
      <x:c r="BA1023" s="11" t="str">
        <x:f>HYPERLINK("https://www.mobygames.com/search/?q=Ultraverse+Prime","MobyGames")</x:f>
        <x:v>MobyGames</x:v>
      </x:c>
      <x:c r="BB1023" s="9" t="str"/>
      <x:c r="BC1023" s="9" t="str"/>
      <x:c r="BD1023" s="9"/>
      <x:c r="BE1023" s="9"/>
      <x:c r="BF1023" s="11" t="str">
        <x:f>HYPERLINK("https://backloggd.com/search/games/Ultraverse%20Prime/","Backloggd")</x:f>
        <x:v>Backloggd</x:v>
      </x:c>
      <x:c r="BG1023" s="9"/>
      <x:c r="BH1023" s="9"/>
      <x:c r="BI1023" s="12" t="str">
        <x:v>No</x:v>
      </x:c>
      <x:c r="BJ1023" s="12" t="str"/>
      <x:c r="BK1023" s="12" t="str">
        <x:v>No</x:v>
      </x:c>
      <x:c r="BL1023" s="12" t="str"/>
      <x:c r="BM1023" s="12" t="str"/>
      <x:c r="BN1023" s="12" t="str"/>
      <x:c r="BO1023" s="12" t="str"/>
      <x:c r="BP1023" s="12" t="str"/>
      <x:c r="BQ1023" s="12" t="str"/>
    </x:row>
    <x:row r="1024">
      <x:c r="A1024" s="9" t="str">
        <x:v>segacd-77</x:v>
      </x:c>
      <x:c r="B1024" s="9" t="str">
        <x:v>bill-walsh-college-football-sega-cd</x:v>
      </x:c>
      <x:c r="C1024" s="9" t="str">
        <x:v>Sega CD</x:v>
      </x:c>
      <x:c r="D1024" s="9" t="str">
        <x:v>Bill Walsh College Football</x:v>
      </x:c>
      <x:c r="E1024" s="9" t="str"/>
      <x:c r="F1024" s="9" t="str">
        <x:v>High Score Productions</x:v>
      </x:c>
      <x:c r="G1024" s="9" t="str">
        <x:v>EA Sports</x:v>
      </x:c>
      <x:c r="H1024" s="9" t="n">
        <x:v>1993</x:v>
      </x:c>
      <x:c r="I1024" s="9" t="str">
        <x:v>Yes</x:v>
      </x:c>
      <x:c r="J1024" s="9" t="str">
        <x:v>No</x:v>
      </x:c>
      <x:c r="K1024" s="9" t="str">
        <x:v>Yes</x:v>
      </x:c>
      <x:c r="L1024" s="9" t="str">
        <x:v>No</x:v>
      </x:c>
      <x:c r="M1024" s="9" t="str">
        <x:v>American football</x:v>
      </x:c>
      <x:c r="N1024" s="9" t="str">
        <x:v>Live-action</x:v>
      </x:c>
      <x:c r="O1024" s="9" t="n">
        <x:v>2</x:v>
      </x:c>
      <x:c r="P1024" s="9" t="str">
        <x:v>Sports w/ FMV</x:v>
      </x:c>
      <x:c r="Q1024" s="9" t="str">
        <x:v>Released</x:v>
      </x:c>
      <x:c r="R1024" s="9" t="str">
        <x:v>Original production</x:v>
      </x:c>
      <x:c r="S1024" s="9"/>
      <x:c r="T1024" s="9" t="str">
        <x:v>Bill Walsh on video</x:v>
      </x:c>
      <x:c r="U1024" s="9" t="n">
        <x:v>1</x:v>
      </x:c>
      <x:c r="V1024" s="9" t="str">
        <x:v>Yes</x:v>
      </x:c>
      <x:c r="W1024" s="9" t="str">
        <x:v>Sega CD</x:v>
      </x:c>
      <x:c r="X1024" s="9" t="str">
        <x:v>Low</x:v>
      </x:c>
      <x:c r="Y1024" s="9" t="str"/>
      <x:c r="Z1024" s="9" t="str">
        <x:v>Open-ended</x:v>
      </x:c>
      <x:c r="AA1024" s="9" t="str">
        <x:v>EA's college football on Sega CD with filmed Bill Walsh segments, the same treatment as the ESPN discs already indexed.</x:v>
      </x:c>
      <x:c r="AB1024" s="9" t="str">
        <x:v>None known</x:v>
      </x:c>
      <x:c r="AC1024" s="9" t="str">
        <x:v>Filmed Bill Walsh commentary and highlight clips (verify)</x:v>
      </x:c>
      <x:c r="AD1024" s="9" t="str">
        <x:v>Moderate</x:v>
      </x:c>
      <x:c r="AE1024" s="9" t="str">
        <x:v>None</x:v>
      </x:c>
      <x:c r="AF1024" s="9" t="str">
        <x:v>Facts verify.</x:v>
      </x:c>
      <x:c r="AG1024" s="9" t="str">
        <x:v>Sega CD edition</x:v>
      </x:c>
      <x:c r="AH1024" s="9" t="str">
        <x:v>No</x:v>
      </x:c>
      <x:c r="AI1024" s="9" t="str">
        <x:v>Easy</x:v>
      </x:c>
      <x:c r="AJ1024" s="9" t="str">
        <x:v>Original disc; Sega CD emulation</x:v>
      </x:c>
      <x:c r="AK1024" s="9"/>
      <x:c r="AL1024" s="10" t="n">
        <x:v>6.14</x:v>
      </x:c>
      <x:c r="AM1024" s="10" t="n">
        <x:v>10.99</x:v>
      </x:c>
      <x:c r="AN1024" s="10" t="n">
        <x:v>24.67</x:v>
      </x:c>
      <x:c r="AO1024" s="9" t="str">
        <x:v>2026-10-25</x:v>
      </x:c>
      <x:c r="AP1024" s="11" t="str">
        <x:f>HYPERLINK("https://www.pricecharting.com/game/sega-cd/bill-walsh-college-football","PriceCharting")</x:f>
        <x:v>PriceCharting</x:v>
      </x:c>
      <x:c r="AQ1024" s="9"/>
      <x:c r="AR1024" s="9"/>
      <x:c r="AS1024" s="9"/>
      <x:c r="AT1024" s="9"/>
      <x:c r="AU1024" s="9"/>
      <x:c r="AV1024" s="9"/>
      <x:c r="AW1024" s="9"/>
      <x:c r="AX1024" s="9"/>
      <x:c r="AY1024" s="9"/>
      <x:c r="AZ1024" s="9"/>
      <x:c r="BA1024" s="11" t="str">
        <x:f>HYPERLINK("https://www.mobygames.com/search/?q=Bill+Walsh+College+Football","MobyGames")</x:f>
        <x:v>MobyGames</x:v>
      </x:c>
      <x:c r="BB1024" s="9" t="str"/>
      <x:c r="BC1024" s="9" t="str"/>
      <x:c r="BD1024" s="9"/>
      <x:c r="BE1024" s="9"/>
      <x:c r="BF1024" s="11" t="str">
        <x:f>HYPERLINK("https://backloggd.com/search/games/Bill%20Walsh%20College%20Football/","Backloggd")</x:f>
        <x:v>Backloggd</x:v>
      </x:c>
      <x:c r="BG1024" s="9"/>
      <x:c r="BH1024" s="9"/>
      <x:c r="BI1024" s="12" t="str">
        <x:v>No</x:v>
      </x:c>
      <x:c r="BJ1024" s="12" t="str"/>
      <x:c r="BK1024" s="12" t="str">
        <x:v>No</x:v>
      </x:c>
      <x:c r="BL1024" s="12" t="str"/>
      <x:c r="BM1024" s="12" t="str"/>
      <x:c r="BN1024" s="12" t="str"/>
      <x:c r="BO1024" s="12" t="str"/>
      <x:c r="BP1024" s="12" t="str"/>
      <x:c r="BQ1024" s="12" t="str"/>
    </x:row>
    <x:row r="1025">
      <x:c r="A1025" s="9" t="str">
        <x:v>segacd-78</x:v>
      </x:c>
      <x:c r="B1025" s="9" t="str">
        <x:v>joe-montanas-nfl-football-sega-cd</x:v>
      </x:c>
      <x:c r="C1025" s="9" t="str">
        <x:v>Sega CD</x:v>
      </x:c>
      <x:c r="D1025" s="9" t="str">
        <x:v>Joe Montana's NFL Football</x:v>
      </x:c>
      <x:c r="E1025" s="9" t="str"/>
      <x:c r="F1025" s="9" t="str">
        <x:v>BlueSky Software</x:v>
      </x:c>
      <x:c r="G1025" s="9" t="str">
        <x:v>Sega</x:v>
      </x:c>
      <x:c r="H1025" s="9" t="n">
        <x:v>1993</x:v>
      </x:c>
      <x:c r="I1025" s="9" t="str">
        <x:v>Yes</x:v>
      </x:c>
      <x:c r="J1025" s="9" t="str">
        <x:v>No</x:v>
      </x:c>
      <x:c r="K1025" s="9" t="str">
        <x:v>Yes</x:v>
      </x:c>
      <x:c r="L1025" s="9" t="str">
        <x:v>No</x:v>
      </x:c>
      <x:c r="M1025" s="9" t="str">
        <x:v>American football</x:v>
      </x:c>
      <x:c r="N1025" s="9" t="str">
        <x:v>Live-action</x:v>
      </x:c>
      <x:c r="O1025" s="9" t="n">
        <x:v>2</x:v>
      </x:c>
      <x:c r="P1025" s="9" t="str">
        <x:v>Sports w/ FMV</x:v>
      </x:c>
      <x:c r="Q1025" s="9" t="str">
        <x:v>Released</x:v>
      </x:c>
      <x:c r="R1025" s="9" t="str">
        <x:v>Original production</x:v>
      </x:c>
      <x:c r="S1025" s="9"/>
      <x:c r="T1025" s="9" t="str">
        <x:v>Joe Montana on video</x:v>
      </x:c>
      <x:c r="U1025" s="9" t="n">
        <x:v>1</x:v>
      </x:c>
      <x:c r="V1025" s="9" t="str">
        <x:v>Yes</x:v>
      </x:c>
      <x:c r="W1025" s="9" t="str">
        <x:v>Sega CD</x:v>
      </x:c>
      <x:c r="X1025" s="9" t="str">
        <x:v>Low</x:v>
      </x:c>
      <x:c r="Y1025" s="9" t="str"/>
      <x:c r="Z1025" s="9" t="str">
        <x:v>Open-ended</x:v>
      </x:c>
      <x:c r="AA1025" s="9" t="str">
        <x:v>Sega's own football on Sega CD with filmed Joe Montana and NFL footage (verify).</x:v>
      </x:c>
      <x:c r="AB1025" s="9" t="str">
        <x:v>None known</x:v>
      </x:c>
      <x:c r="AC1025" s="9" t="str">
        <x:v>Filmed Montana segments and intro (verify)</x:v>
      </x:c>
      <x:c r="AD1025" s="9" t="str">
        <x:v>Moderate</x:v>
      </x:c>
      <x:c r="AE1025" s="9" t="str">
        <x:v>None</x:v>
      </x:c>
      <x:c r="AF1025" s="9" t="str">
        <x:v>Facts verify.</x:v>
      </x:c>
      <x:c r="AG1025" s="9" t="str">
        <x:v>Sega CD edition</x:v>
      </x:c>
      <x:c r="AH1025" s="9" t="str">
        <x:v>No</x:v>
      </x:c>
      <x:c r="AI1025" s="9" t="str">
        <x:v>Easy</x:v>
      </x:c>
      <x:c r="AJ1025" s="9" t="str">
        <x:v>Original disc; Sega CD emulation</x:v>
      </x:c>
      <x:c r="AK1025" s="9"/>
      <x:c r="AL1025" s="10" t="n">
        <x:v>6.14</x:v>
      </x:c>
      <x:c r="AM1025" s="10" t="n">
        <x:v>11.75</x:v>
      </x:c>
      <x:c r="AN1025" s="10" t="n">
        <x:v>31.57</x:v>
      </x:c>
      <x:c r="AO1025" s="9" t="str">
        <x:v>2026-10-25</x:v>
      </x:c>
      <x:c r="AP1025" s="11" t="str">
        <x:f>HYPERLINK("https://www.pricecharting.com/game/sega-cd/joe-montana-nfl-football","PriceCharting")</x:f>
        <x:v>PriceCharting</x:v>
      </x:c>
      <x:c r="AQ1025" s="9"/>
      <x:c r="AR1025" s="9"/>
      <x:c r="AS1025" s="9"/>
      <x:c r="AT1025" s="9"/>
      <x:c r="AU1025" s="9"/>
      <x:c r="AV1025" s="9"/>
      <x:c r="AW1025" s="9"/>
      <x:c r="AX1025" s="9"/>
      <x:c r="AY1025" s="9"/>
      <x:c r="AZ1025" s="9"/>
      <x:c r="BA1025" s="11" t="str">
        <x:f>HYPERLINK("https://www.mobygames.com/search/?q=Joe+Montana%27s+NFL+Football","MobyGames")</x:f>
        <x:v>MobyGames</x:v>
      </x:c>
      <x:c r="BB1025" s="9" t="str">
        <x:v>20%</x:v>
      </x:c>
      <x:c r="BC1025" s="9" t="str">
        <x:v>GameRankings, 1 review</x:v>
      </x:c>
      <x:c r="BD1025" s="9" t="str">
        <x:f>HYPERLINK("https://web.archive.org/web/20191209011354id_/https://www.gamerankings.com/segacd/587956-joe-montanas-nfl-football/","Source")</x:f>
        <x:v>Source</x:v>
      </x:c>
      <x:c r="BE1025" s="9"/>
      <x:c r="BF1025" s="11" t="str">
        <x:f>HYPERLINK("https://backloggd.com/search/games/Joe%20Montana%27s%20NFL%20Football/","Backloggd")</x:f>
        <x:v>Backloggd</x:v>
      </x:c>
      <x:c r="BG1025" s="9"/>
      <x:c r="BH1025" s="9"/>
      <x:c r="BI1025" s="12" t="str">
        <x:v>No</x:v>
      </x:c>
      <x:c r="BJ1025" s="12" t="str"/>
      <x:c r="BK1025" s="12" t="str">
        <x:v>No</x:v>
      </x:c>
      <x:c r="BL1025" s="12" t="str"/>
      <x:c r="BM1025" s="12" t="str"/>
      <x:c r="BN1025" s="12" t="str"/>
      <x:c r="BO1025" s="12" t="str"/>
      <x:c r="BP1025" s="12" t="str"/>
      <x:c r="BQ1025" s="12" t="str"/>
    </x:row>
    <x:row r="1026">
      <x:c r="A1026" s="9" t="str">
        <x:v>segacd-79</x:v>
      </x:c>
      <x:c r="B1026" s="9" t="str">
        <x:v>urusei-yatsura-dear-my-friends</x:v>
      </x:c>
      <x:c r="C1026" s="9" t="str">
        <x:v>Sega CD</x:v>
      </x:c>
      <x:c r="D1026" s="9" t="str">
        <x:v>Urusei Yatsura: Dear My Friends</x:v>
      </x:c>
      <x:c r="E1026" s="9" t="str"/>
      <x:c r="F1026" s="9" t="str">
        <x:v>Game Arts</x:v>
      </x:c>
      <x:c r="G1026" s="9" t="str">
        <x:v>Game Arts</x:v>
      </x:c>
      <x:c r="H1026" s="9" t="n">
        <x:v>1994</x:v>
      </x:c>
      <x:c r="I1026" s="9" t="str">
        <x:v>No</x:v>
      </x:c>
      <x:c r="J1026" s="9" t="str">
        <x:v>Yes</x:v>
      </x:c>
      <x:c r="K1026" s="9" t="str">
        <x:v>No</x:v>
      </x:c>
      <x:c r="L1026" s="9" t="str">
        <x:v>No</x:v>
      </x:c>
      <x:c r="M1026" s="9" t="str">
        <x:v>Anime adventure</x:v>
      </x:c>
      <x:c r="N1026" s="9" t="str">
        <x:v>Anime</x:v>
      </x:c>
      <x:c r="O1026" s="9" t="n">
        <x:v>5</x:v>
      </x:c>
      <x:c r="P1026" s="9" t="str">
        <x:v>FMV adventure</x:v>
      </x:c>
      <x:c r="Q1026" s="9" t="str">
        <x:v>Released</x:v>
      </x:c>
      <x:c r="R1026" s="9" t="str">
        <x:v>Licensed (Urusei Yatsura)</x:v>
      </x:c>
      <x:c r="S1026" s="9"/>
      <x:c r="T1026" s="9" t="str">
        <x:v>The anime voice cast</x:v>
      </x:c>
      <x:c r="U1026" s="9" t="n">
        <x:v>1</x:v>
      </x:c>
      <x:c r="V1026" s="9" t="str">
        <x:v>Yes</x:v>
      </x:c>
      <x:c r="W1026" s="9" t="str">
        <x:v>Sega CD</x:v>
      </x:c>
      <x:c r="X1026" s="9" t="str">
        <x:v>Low</x:v>
      </x:c>
      <x:c r="Y1026" s="9" t="str"/>
      <x:c r="Z1026" s="9" t="str">
        <x:v>4–6 hr</x:v>
      </x:c>
      <x:c r="AA1026" s="9" t="str">
        <x:v>Game Arts' Mega-CD Urusei Yatsura, an adventure built around streamed anime scenes with the TV voice cast; Japan only.</x:v>
      </x:c>
      <x:c r="AB1026" s="9" t="str">
        <x:v>None known</x:v>
      </x:c>
      <x:c r="AC1026" s="9" t="str">
        <x:v>Anime cutscenes and talking scenes (verify streamed)</x:v>
      </x:c>
      <x:c r="AD1026" s="9" t="str">
        <x:v>Easy</x:v>
      </x:c>
      <x:c r="AE1026" s="9" t="str">
        <x:v>Several</x:v>
      </x:c>
      <x:c r="AF1026" s="9" t="str">
        <x:v>Facts verify. Fan translation exists (verify).</x:v>
      </x:c>
      <x:c r="AG1026" s="9" t="str">
        <x:v>Mega-CD (Japan)</x:v>
      </x:c>
      <x:c r="AH1026" s="9" t="str">
        <x:v>No</x:v>
      </x:c>
      <x:c r="AI1026" s="9" t="str">
        <x:v>Import</x:v>
      </x:c>
      <x:c r="AJ1026" s="9" t="str">
        <x:v>Original disc; Sega CD emulation</x:v>
      </x:c>
      <x:c r="AK1026" s="9"/>
      <x:c r="AL1026" s="10" t="n">
        <x:v>12.42</x:v>
      </x:c>
      <x:c r="AM1026" s="10" t="n">
        <x:v>27.32</x:v>
      </x:c>
      <x:c r="AN1026" s="10" t="n">
        <x:v>55.89</x:v>
      </x:c>
      <x:c r="AO1026" s="9" t="str">
        <x:v>2026-10-25</x:v>
      </x:c>
      <x:c r="AP1026" s="11" t="str">
        <x:f>HYPERLINK("https://www.pricecharting.com/game/jp-sega-mega-cd/urusei-yatsura-my-dear-friends","PriceCharting")</x:f>
        <x:v>PriceCharting</x:v>
      </x:c>
      <x:c r="AQ1026" s="9"/>
      <x:c r="AR1026" s="9"/>
      <x:c r="AS1026" s="9"/>
      <x:c r="AT1026" s="9"/>
      <x:c r="AU1026" s="9"/>
      <x:c r="AV1026" s="9"/>
      <x:c r="AW1026" s="9"/>
      <x:c r="AX1026" s="9"/>
      <x:c r="AY1026" s="9"/>
      <x:c r="AZ1026" s="9"/>
      <x:c r="BA1026" s="11" t="str">
        <x:f>HYPERLINK("https://www.mobygames.com/search/?q=Urusei+Yatsura%3A+Dear+My+Friends","MobyGames")</x:f>
        <x:v>MobyGames</x:v>
      </x:c>
      <x:c r="BB1026" s="9" t="str"/>
      <x:c r="BC1026" s="9" t="str"/>
      <x:c r="BD1026" s="9"/>
      <x:c r="BE1026" s="9"/>
      <x:c r="BF1026" s="11" t="str">
        <x:f>HYPERLINK("https://backloggd.com/search/games/Urusei%20Yatsura%3A%20Dear%20My%20Friends/","Backloggd")</x:f>
        <x:v>Backloggd</x:v>
      </x:c>
      <x:c r="BG1026" s="9"/>
      <x:c r="BH1026" s="9"/>
      <x:c r="BI1026" s="12" t="str">
        <x:v>No</x:v>
      </x:c>
      <x:c r="BJ1026" s="12" t="str"/>
      <x:c r="BK1026" s="12" t="str">
        <x:v>No</x:v>
      </x:c>
      <x:c r="BL1026" s="12" t="str"/>
      <x:c r="BM1026" s="12" t="str"/>
      <x:c r="BN1026" s="12" t="str"/>
      <x:c r="BO1026" s="12" t="str"/>
      <x:c r="BP1026" s="12" t="str"/>
      <x:c r="BQ1026" s="12" t="str"/>
    </x:row>
    <x:row r="1027">
      <x:c r="A1027" s="9" t="str">
        <x:v>ps1-116</x:v>
      </x:c>
      <x:c r="B1027" s="9" t="str">
        <x:v>super-adventure-rockman</x:v>
      </x:c>
      <x:c r="C1027" s="9" t="str">
        <x:v>PlayStation</x:v>
      </x:c>
      <x:c r="D1027" s="9" t="str">
        <x:v>Super Adventure Rockman</x:v>
      </x:c>
      <x:c r="E1027" s="9" t="str"/>
      <x:c r="F1027" s="9" t="str">
        <x:v>Kouyousha</x:v>
      </x:c>
      <x:c r="G1027" s="9" t="str">
        <x:v>Capcom</x:v>
      </x:c>
      <x:c r="H1027" s="9" t="n">
        <x:v>1998</x:v>
      </x:c>
      <x:c r="I1027" s="9" t="str">
        <x:v>No</x:v>
      </x:c>
      <x:c r="J1027" s="9" t="str">
        <x:v>Yes</x:v>
      </x:c>
      <x:c r="K1027" s="9" t="str">
        <x:v>No</x:v>
      </x:c>
      <x:c r="L1027" s="9" t="str">
        <x:v>No</x:v>
      </x:c>
      <x:c r="M1027" s="9" t="str">
        <x:v>Anime interactive movie / rail shooter</x:v>
      </x:c>
      <x:c r="N1027" s="9" t="str">
        <x:v>Anime</x:v>
      </x:c>
      <x:c r="O1027" s="9" t="n">
        <x:v>9</x:v>
      </x:c>
      <x:c r="P1027" s="9" t="str">
        <x:v>Interactive movie</x:v>
      </x:c>
      <x:c r="Q1027" s="9" t="str">
        <x:v>Released</x:v>
      </x:c>
      <x:c r="R1027" s="9" t="str">
        <x:v>Licensed (Mega Man)</x:v>
      </x:c>
      <x:c r="S1027" s="9"/>
      <x:c r="T1027" s="9" t="str">
        <x:v>Mega Man anime voice cast</x:v>
      </x:c>
      <x:c r="U1027" s="9" t="n">
        <x:v>3</x:v>
      </x:c>
      <x:c r="V1027" s="9" t="str">
        <x:v>Yes</x:v>
      </x:c>
      <x:c r="W1027" s="9" t="str">
        <x:v>PlayStation</x:v>
      </x:c>
      <x:c r="X1027" s="9" t="str">
        <x:v>Low</x:v>
      </x:c>
      <x:c r="Y1027" s="9" t="str"/>
      <x:c r="Z1027" s="9" t="str">
        <x:v>3–4 hr</x:v>
      </x:c>
      <x:c r="AA1027" s="9" t="str">
        <x:v>Three discs of Mega Man anime with branching paths, quick-time events and rail-shooter ambushes; Keiji Inafune disowned it and apologised to fans.</x:v>
      </x:c>
      <x:c r="AB1027" s="9" t="str">
        <x:v>None known</x:v>
      </x:c>
      <x:c r="AC1027" s="9" t="str">
        <x:v>Roughly 30 minutes of anime per disc, branching, with first-person shooting segments</x:v>
      </x:c>
      <x:c r="AD1027" s="9" t="str">
        <x:v>Moderate; failed QTEs cost health</x:v>
      </x:c>
      <x:c r="AE1027" s="9" t="str">
        <x:v>One, with game overs</x:v>
      </x:c>
      <x:c r="AF1027" s="9" t="str">
        <x:v>Famitsu 27/40 on both systems, Dengeki PlayStation 85/100. Roll dies and the world is destroyed, which Inafune called inappropriate for children. Adapted by Archie Comics as 'Blackout: The Curse of Ra Moon'.</x:v>
      </x:c>
      <x:c r="AG1027" s="9" t="str">
        <x:v>PlayStation and Saturn, 25 June 1998</x:v>
      </x:c>
      <x:c r="AH1027" s="9" t="str">
        <x:v>No</x:v>
      </x:c>
      <x:c r="AI1027" s="9" t="str">
        <x:v>Import</x:v>
      </x:c>
      <x:c r="AJ1027" s="9" t="str">
        <x:v>Original disc, import; emulation with the fan translation (verify)</x:v>
      </x:c>
      <x:c r="AK1027" s="9"/>
      <x:c r="AL1027" s="10" t="n">
        <x:v>64.15</x:v>
      </x:c>
      <x:c r="AM1027" s="10" t="n">
        <x:v>89.99</x:v>
      </x:c>
      <x:c r="AN1027" s="10" t="n">
        <x:v>234</x:v>
      </x:c>
      <x:c r="AO1027" s="9" t="str">
        <x:v>2026-10-25</x:v>
      </x:c>
      <x:c r="AP1027" s="11" t="str">
        <x:f>HYPERLINK("https://www.pricecharting.com/game/jp-playstation/super-adventure-rockman","PriceCharting")</x:f>
        <x:v>PriceCharting</x:v>
      </x:c>
      <x:c r="AQ1027" s="9"/>
      <x:c r="AR1027" s="9"/>
      <x:c r="AS1027" s="9"/>
      <x:c r="AT1027" s="9"/>
      <x:c r="AU1027" s="9"/>
      <x:c r="AV1027" s="9"/>
      <x:c r="AW1027" s="9"/>
      <x:c r="AX1027" s="9"/>
      <x:c r="AY1027" s="9"/>
      <x:c r="AZ1027" s="9"/>
      <x:c r="BA1027" s="11" t="str">
        <x:f>HYPERLINK("https://www.mobygames.com/search/?q=Super+Adventure+Rockman","MobyGames")</x:f>
        <x:v>MobyGames</x:v>
      </x:c>
      <x:c r="BB1027" s="9" t="str">
        <x:v>68%</x:v>
      </x:c>
      <x:c r="BC1027" s="9" t="str">
        <x:v>Famitsu 27/40</x:v>
      </x:c>
      <x:c r="BD1027" s="9" t="str">
        <x:f>HYPERLINK("https://en.wikipedia.org/wiki/Super_Adventure_Rockman","Source")</x:f>
        <x:v>Source</x:v>
      </x:c>
      <x:c r="BE1027" s="11" t="str">
        <x:f>HYPERLINK("https://en.wikipedia.org/wiki/Super_Adventure_Rockman","Wikipedia")</x:f>
        <x:v>Wikipedia</x:v>
      </x:c>
      <x:c r="BF1027" s="11" t="str">
        <x:f>HYPERLINK("https://backloggd.com/search/games/Super%20Adventure%20Rockman/","Backloggd")</x:f>
        <x:v>Backloggd</x:v>
      </x:c>
      <x:c r="BG1027" s="9"/>
      <x:c r="BH1027" s="9"/>
      <x:c r="BI1027" s="12" t="str">
        <x:v>No</x:v>
      </x:c>
      <x:c r="BJ1027" s="12" t="str"/>
      <x:c r="BK1027" s="12" t="str">
        <x:v>No</x:v>
      </x:c>
      <x:c r="BL1027" s="12" t="str"/>
      <x:c r="BM1027" s="12" t="str"/>
      <x:c r="BN1027" s="12" t="str"/>
      <x:c r="BO1027" s="12" t="str"/>
      <x:c r="BP1027" s="12" t="str"/>
      <x:c r="BQ1027" s="12" t="str"/>
    </x:row>
    <x:row r="1028">
      <x:c r="A1028" s="9" t="str">
        <x:v>ps1-117</x:v>
      </x:c>
      <x:c r="B1028" s="9" t="str">
        <x:v>scandal-2000</x:v>
      </x:c>
      <x:c r="C1028" s="9" t="str">
        <x:v>PlayStation</x:v>
      </x:c>
      <x:c r="D1028" s="9" t="str">
        <x:v>Scandal</x:v>
      </x:c>
      <x:c r="E1028" s="9" t="str"/>
      <x:c r="F1028" s="9" t="str">
        <x:v>Sony Computer Entertainment (verify)</x:v>
      </x:c>
      <x:c r="G1028" s="9" t="str">
        <x:v>Sony Computer Entertainment</x:v>
      </x:c>
      <x:c r="H1028" s="9" t="n">
        <x:v>2000</x:v>
      </x:c>
      <x:c r="I1028" s="9" t="str">
        <x:v>No</x:v>
      </x:c>
      <x:c r="J1028" s="9" t="str">
        <x:v>Yes</x:v>
      </x:c>
      <x:c r="K1028" s="9" t="str">
        <x:v>No</x:v>
      </x:c>
      <x:c r="L1028" s="9" t="str">
        <x:v>No</x:v>
      </x:c>
      <x:c r="M1028" s="9" t="str">
        <x:v>Live-action adventure</x:v>
      </x:c>
      <x:c r="N1028" s="9" t="str">
        <x:v>Live-action</x:v>
      </x:c>
      <x:c r="O1028" s="9" t="n">
        <x:v>9</x:v>
      </x:c>
      <x:c r="P1028" s="9" t="str">
        <x:v>Interactive movie</x:v>
      </x:c>
      <x:c r="Q1028" s="9" t="str">
        <x:v>Released</x:v>
      </x:c>
      <x:c r="R1028" s="9" t="str">
        <x:v>Original production (Japan)</x:v>
      </x:c>
      <x:c r="S1028" s="9"/>
      <x:c r="T1028" s="9" t="str">
        <x:v>Japanese cast (names verify)</x:v>
      </x:c>
      <x:c r="U1028" s="9" t="n">
        <x:v>2</x:v>
      </x:c>
      <x:c r="V1028" s="9" t="str">
        <x:v>Yes</x:v>
      </x:c>
      <x:c r="W1028" s="9" t="str">
        <x:v>PlayStation</x:v>
      </x:c>
      <x:c r="X1028" s="9" t="str">
        <x:v>Low</x:v>
      </x:c>
      <x:c r="Y1028" s="9" t="str"/>
      <x:c r="Z1028" s="9" t="str">
        <x:v>4–6 hr</x:v>
      </x:c>
      <x:c r="AA1028" s="9" t="str">
        <x:v>Sony's last PlayStation interactive movie, a live-action scandal drama in the Yarudora mould (verify).</x:v>
      </x:c>
      <x:c r="AB1028" s="9" t="str">
        <x:v>None known</x:v>
      </x:c>
      <x:c r="AC1028" s="9" t="str">
        <x:v>Filmed scenes with choices (verify)</x:v>
      </x:c>
      <x:c r="AD1028" s="9" t="str">
        <x:v>Easy</x:v>
      </x:c>
      <x:c r="AE1028" s="9" t="str">
        <x:v>Several</x:v>
      </x:c>
      <x:c r="AF1028" s="9" t="str">
        <x:v>GameSpot ran a 'First Look: Scandal' preview in 2000. Facts verify.</x:v>
      </x:c>
      <x:c r="AG1028" s="9" t="str">
        <x:v>PlayStation (Japan), SCPS-10053 (verify)</x:v>
      </x:c>
      <x:c r="AH1028" s="9" t="str">
        <x:v>No</x:v>
      </x:c>
      <x:c r="AI1028" s="9" t="str">
        <x:v>Import</x:v>
      </x:c>
      <x:c r="AJ1028" s="9" t="str">
        <x:v>Original disc, import; emulation</x:v>
      </x:c>
      <x:c r="AK1028" s="9"/>
      <x:c r="AL1028" s="10"/>
      <x:c r="AM1028" s="10"/>
      <x:c r="AN1028" s="10"/>
      <x:c r="AO1028" s="9"/>
      <x:c r="AP1028" s="11" t="str">
        <x:f>HYPERLINK("https://www.pricecharting.com/search-products?q=Scandal+playstation&amp;type=prices","PriceCharting")</x:f>
        <x:v>PriceCharting</x:v>
      </x:c>
      <x:c r="AQ1028" s="9"/>
      <x:c r="AR1028" s="9"/>
      <x:c r="AS1028" s="9"/>
      <x:c r="AT1028" s="9"/>
      <x:c r="AU1028" s="9"/>
      <x:c r="AV1028" s="9"/>
      <x:c r="AW1028" s="9"/>
      <x:c r="AX1028" s="9"/>
      <x:c r="AY1028" s="9"/>
      <x:c r="AZ1028" s="9"/>
      <x:c r="BA1028" s="11" t="str">
        <x:f>HYPERLINK("https://www.mobygames.com/search/?q=Scandal","MobyGames")</x:f>
        <x:v>MobyGames</x:v>
      </x:c>
      <x:c r="BB1028" s="9" t="str"/>
      <x:c r="BC1028" s="9" t="str"/>
      <x:c r="BD1028" s="9"/>
      <x:c r="BE1028" s="9"/>
      <x:c r="BF1028" s="11" t="str">
        <x:f>HYPERLINK("https://backloggd.com/search/games/Scandal/","Backloggd")</x:f>
        <x:v>Backloggd</x:v>
      </x:c>
      <x:c r="BG1028" s="9"/>
      <x:c r="BH1028" s="9"/>
      <x:c r="BI1028" s="12" t="str">
        <x:v>No</x:v>
      </x:c>
      <x:c r="BJ1028" s="12" t="str"/>
      <x:c r="BK1028" s="12" t="str">
        <x:v>No</x:v>
      </x:c>
      <x:c r="BL1028" s="12" t="str"/>
      <x:c r="BM1028" s="12" t="str"/>
      <x:c r="BN1028" s="12" t="str"/>
      <x:c r="BO1028" s="12" t="str"/>
      <x:c r="BP1028" s="12" t="str"/>
      <x:c r="BQ1028" s="12" t="str"/>
    </x:row>
    <x:row r="1029">
      <x:c r="A1029" s="9" t="str">
        <x:v>saturn-82</x:v>
      </x:c>
      <x:c r="B1029" s="9" t="str">
        <x:v>super-adventure-rockman</x:v>
      </x:c>
      <x:c r="C1029" s="9" t="str">
        <x:v>Sega Saturn</x:v>
      </x:c>
      <x:c r="D1029" s="9" t="str">
        <x:v>Super Adventure Rockman</x:v>
      </x:c>
      <x:c r="E1029" s="9" t="str"/>
      <x:c r="F1029" s="9" t="str">
        <x:v>Kouyousha</x:v>
      </x:c>
      <x:c r="G1029" s="9" t="str">
        <x:v>Capcom</x:v>
      </x:c>
      <x:c r="H1029" s="9" t="n">
        <x:v>1998</x:v>
      </x:c>
      <x:c r="I1029" s="9" t="str">
        <x:v>No</x:v>
      </x:c>
      <x:c r="J1029" s="9" t="str">
        <x:v>Yes</x:v>
      </x:c>
      <x:c r="K1029" s="9" t="str">
        <x:v>No</x:v>
      </x:c>
      <x:c r="L1029" s="9" t="str">
        <x:v>No</x:v>
      </x:c>
      <x:c r="M1029" s="9" t="str">
        <x:v>Anime interactive movie / rail shooter</x:v>
      </x:c>
      <x:c r="N1029" s="9" t="str">
        <x:v>Anime</x:v>
      </x:c>
      <x:c r="O1029" s="9" t="n">
        <x:v>9</x:v>
      </x:c>
      <x:c r="P1029" s="9" t="str">
        <x:v>Interactive movie</x:v>
      </x:c>
      <x:c r="Q1029" s="9" t="str">
        <x:v>Released</x:v>
      </x:c>
      <x:c r="R1029" s="9" t="str">
        <x:v>Licensed (Mega Man)</x:v>
      </x:c>
      <x:c r="S1029" s="9"/>
      <x:c r="T1029" s="9" t="str">
        <x:v>Mega Man anime voice cast</x:v>
      </x:c>
      <x:c r="U1029" s="9" t="n">
        <x:v>3</x:v>
      </x:c>
      <x:c r="V1029" s="9" t="str">
        <x:v>Yes</x:v>
      </x:c>
      <x:c r="W1029" s="9" t="str">
        <x:v>Sega Saturn</x:v>
      </x:c>
      <x:c r="X1029" s="9" t="str">
        <x:v>Low</x:v>
      </x:c>
      <x:c r="Y1029" s="9" t="str"/>
      <x:c r="Z1029" s="9" t="str">
        <x:v>3–4 hr</x:v>
      </x:c>
      <x:c r="AA1029" s="9" t="str">
        <x:v>Three discs of Mega Man anime with branching paths, quick-time events and rail-shooter ambushes; Keiji Inafune disowned it and apologised to fans.</x:v>
      </x:c>
      <x:c r="AB1029" s="9" t="str">
        <x:v>None known</x:v>
      </x:c>
      <x:c r="AC1029" s="9" t="str">
        <x:v>Roughly 30 minutes of anime per disc, branching, with first-person shooting segments</x:v>
      </x:c>
      <x:c r="AD1029" s="9" t="str">
        <x:v>Moderate; failed QTEs cost health</x:v>
      </x:c>
      <x:c r="AE1029" s="9" t="str">
        <x:v>One, with game overs</x:v>
      </x:c>
      <x:c r="AF1029" s="9" t="str">
        <x:v>Famitsu 27/40 on both systems, Dengeki PlayStation 85/100. Roll dies and the world is destroyed, which Inafune called inappropriate for children. Adapted by Archie Comics as 'Blackout: The Curse of Ra Moon'.</x:v>
      </x:c>
      <x:c r="AG1029" s="9" t="str">
        <x:v>PlayStation and Saturn, 25 June 1998</x:v>
      </x:c>
      <x:c r="AH1029" s="9" t="str">
        <x:v>No</x:v>
      </x:c>
      <x:c r="AI1029" s="9" t="str">
        <x:v>Import</x:v>
      </x:c>
      <x:c r="AJ1029" s="9" t="str">
        <x:v>Original disc, import; emulation with the fan translation (verify)</x:v>
      </x:c>
      <x:c r="AK1029" s="9"/>
      <x:c r="AL1029" s="10" t="n">
        <x:v>112.02</x:v>
      </x:c>
      <x:c r="AM1029" s="10" t="n">
        <x:v>275.99</x:v>
      </x:c>
      <x:c r="AN1029" s="10" t="n">
        <x:v>469</x:v>
      </x:c>
      <x:c r="AO1029" s="9" t="str">
        <x:v>2026-10-25</x:v>
      </x:c>
      <x:c r="AP1029" s="11" t="str">
        <x:f>HYPERLINK("https://www.pricecharting.com/game/jp-sega-saturn/super-adventure-rockman","PriceCharting")</x:f>
        <x:v>PriceCharting</x:v>
      </x:c>
      <x:c r="AQ1029" s="9"/>
      <x:c r="AR1029" s="9"/>
      <x:c r="AS1029" s="9"/>
      <x:c r="AT1029" s="9"/>
      <x:c r="AU1029" s="9"/>
      <x:c r="AV1029" s="9"/>
      <x:c r="AW1029" s="9"/>
      <x:c r="AX1029" s="9"/>
      <x:c r="AY1029" s="9"/>
      <x:c r="AZ1029" s="9"/>
      <x:c r="BA1029" s="11" t="str">
        <x:f>HYPERLINK("https://www.mobygames.com/search/?q=Super+Adventure+Rockman","MobyGames")</x:f>
        <x:v>MobyGames</x:v>
      </x:c>
      <x:c r="BB1029" s="9" t="str">
        <x:v>68%</x:v>
      </x:c>
      <x:c r="BC1029" s="9" t="str">
        <x:v>Famitsu 27/40</x:v>
      </x:c>
      <x:c r="BD1029" s="9" t="str">
        <x:f>HYPERLINK("https://en.wikipedia.org/wiki/Super_Adventure_Rockman","Source")</x:f>
        <x:v>Source</x:v>
      </x:c>
      <x:c r="BE1029" s="11" t="str">
        <x:f>HYPERLINK("https://en.wikipedia.org/wiki/Super_Adventure_Rockman","Wikipedia")</x:f>
        <x:v>Wikipedia</x:v>
      </x:c>
      <x:c r="BF1029" s="11" t="str">
        <x:f>HYPERLINK("https://backloggd.com/search/games/Super%20Adventure%20Rockman/","Backloggd")</x:f>
        <x:v>Backloggd</x:v>
      </x:c>
      <x:c r="BG1029" s="9"/>
      <x:c r="BH1029" s="9"/>
      <x:c r="BI1029" s="12" t="str">
        <x:v>No</x:v>
      </x:c>
      <x:c r="BJ1029" s="12" t="str"/>
      <x:c r="BK1029" s="12" t="str">
        <x:v>No</x:v>
      </x:c>
      <x:c r="BL1029" s="12" t="str"/>
      <x:c r="BM1029" s="12" t="str"/>
      <x:c r="BN1029" s="12" t="str"/>
      <x:c r="BO1029" s="12" t="str"/>
      <x:c r="BP1029" s="12" t="str"/>
      <x:c r="BQ1029" s="12" t="str"/>
    </x:row>
    <x:row r="1030">
      <x:c r="A1030" s="9" t="str">
        <x:v>mac-90</x:v>
      </x:c>
      <x:c r="B1030" s="9" t="str">
        <x:v>puppet-motel</x:v>
      </x:c>
      <x:c r="C1030" s="9" t="str">
        <x:v>Macintosh</x:v>
      </x:c>
      <x:c r="D1030" s="9" t="str">
        <x:v>Puppet Motel</x:v>
      </x:c>
      <x:c r="E1030" s="9" t="str"/>
      <x:c r="F1030" s="9" t="str">
        <x:v>Hsin-Chien Huang; Laurie Anderson</x:v>
      </x:c>
      <x:c r="G1030" s="9" t="str">
        <x:v>The Voyager Company</x:v>
      </x:c>
      <x:c r="H1030" s="9" t="n">
        <x:v>1995</x:v>
      </x:c>
      <x:c r="I1030" s="9" t="str">
        <x:v>Yes</x:v>
      </x:c>
      <x:c r="J1030" s="9" t="str">
        <x:v>No</x:v>
      </x:c>
      <x:c r="K1030" s="9" t="str">
        <x:v>Yes</x:v>
      </x:c>
      <x:c r="L1030" s="9" t="str">
        <x:v>No</x:v>
      </x:c>
      <x:c r="M1030" s="9" t="str">
        <x:v>Interactive art CD-ROM</x:v>
      </x:c>
      <x:c r="N1030" s="9" t="str">
        <x:v>Live-action</x:v>
      </x:c>
      <x:c r="O1030" s="9" t="n">
        <x:v>5</x:v>
      </x:c>
      <x:c r="P1030" s="9" t="str">
        <x:v>Non-game video</x:v>
      </x:c>
      <x:c r="Q1030" s="9" t="str">
        <x:v>Released</x:v>
      </x:c>
      <x:c r="R1030" s="9" t="str">
        <x:v>Original production</x:v>
      </x:c>
      <x:c r="S1030" s="9"/>
      <x:c r="T1030" s="9" t="str">
        <x:v>Laurie Anderson</x:v>
      </x:c>
      <x:c r="U1030" s="9" t="n">
        <x:v>1</x:v>
      </x:c>
      <x:c r="V1030" s="9" t="str">
        <x:v>Yes</x:v>
      </x:c>
      <x:c r="W1030" s="9" t="str">
        <x:v>Macintosh, System 7, 8 MB RAM (verify); Windows version 1998 (verify)</x:v>
      </x:c>
      <x:c r="X1030" s="9" t="str">
        <x:v>Med–High</x:v>
      </x:c>
      <x:c r="Y1030" s="9" t="str">
        <x:v>Laurie Anderson music (Bright Red)</x:v>
      </x:c>
      <x:c r="Z1030" s="9" t="str">
        <x:v>2–3 hr</x:v>
      </x:c>
      <x:c r="AA1030" s="9" t="str">
        <x:v>Laurie Anderson's 33-room CD-ROM, with her on video as herself and as a ventriloquist dummy; shown at the Whitney and called by her 'a bet that just didn't pay off'.</x:v>
      </x:c>
      <x:c r="AB1030" s="9" t="str">
        <x:v>None known</x:v>
      </x:c>
      <x:c r="AC1030" s="9" t="str">
        <x:v>Filmed Anderson performances and the digital dummy guide in each room</x:v>
      </x:c>
      <x:c r="AD1030" s="9" t="str">
        <x:v>Easy</x:v>
      </x:c>
      <x:c r="AE1030" s="9" t="str">
        <x:v>None</x:v>
      </x:c>
      <x:c r="AF1030" s="9" t="str">
        <x:v>Electronic Entertainment 4.5/5, Entertainment Weekly A-, MacUser 4/5; PC Entertainment's Breakthrough Multimedia Title 1996. 10,000 copies by 1996.</x:v>
      </x:c>
      <x:c r="AG1030" s="9" t="str">
        <x:v>Macintosh (1995); Windows (1998, verify)</x:v>
      </x:c>
      <x:c r="AH1030" s="9" t="str">
        <x:v>No</x:v>
      </x:c>
      <x:c r="AI1030" s="9" t="str">
        <x:v>Easy</x:v>
      </x:c>
      <x:c r="AJ1030" s="9" t="str">
        <x:v>Original disc in a classic Mac OS emulator</x:v>
      </x:c>
      <x:c r="AK1030" s="9" t="str">
        <x:v>Art disc kept because it is all video and Anderson is on it.</x:v>
      </x:c>
      <x:c r="AL1030" s="10"/>
      <x:c r="AM1030" s="10"/>
      <x:c r="AN1030" s="10"/>
      <x:c r="AO1030" s="9"/>
      <x:c r="AP1030" s="11" t="str">
        <x:f>HYPERLINK("https://www.pricecharting.com/search-products?q=Puppet+Motel+macintosh&amp;type=prices","PriceCharting")</x:f>
        <x:v>PriceCharting</x:v>
      </x:c>
      <x:c r="AQ1030" s="9"/>
      <x:c r="AR1030" s="9"/>
      <x:c r="AS1030" s="9"/>
      <x:c r="AT1030" s="9"/>
      <x:c r="AU1030" s="9" t="str">
        <x:v>No market</x:v>
      </x:c>
      <x:c r="AV1030" s="9" t="str">
        <x:v>Not listed on PriceCharting, whose Macintosh console has only about 110 items (searched 2026-10-25).</x:v>
      </x:c>
      <x:c r="AW1030" s="9"/>
      <x:c r="AX1030" s="9"/>
      <x:c r="AY1030" s="9"/>
      <x:c r="AZ1030" s="9"/>
      <x:c r="BA1030" s="11" t="str">
        <x:f>HYPERLINK("https://www.mobygames.com/search/?q=Puppet+Motel","MobyGames")</x:f>
        <x:v>MobyGames</x:v>
      </x:c>
      <x:c r="BB1030" s="9" t="str">
        <x:v>85%</x:v>
      </x:c>
      <x:c r="BC1030" s="9" t="str">
        <x:v>average of 2 reviews on Wikipedia (Electronic Entertainment, MacUser)</x:v>
      </x:c>
      <x:c r="BD1030" s="9" t="str">
        <x:f>HYPERLINK("https://en.wikipedia.org/wiki/Puppet_Motel","Source")</x:f>
        <x:v>Source</x:v>
      </x:c>
      <x:c r="BE1030" s="11" t="str">
        <x:f>HYPERLINK("https://en.wikipedia.org/wiki/Puppet_Motel","Wikipedia")</x:f>
        <x:v>Wikipedia</x:v>
      </x:c>
      <x:c r="BF1030" s="11" t="str">
        <x:f>HYPERLINK("https://backloggd.com/search/games/Puppet%20Motel/","Backloggd")</x:f>
        <x:v>Backloggd</x:v>
      </x:c>
      <x:c r="BG1030" s="9"/>
      <x:c r="BH1030" s="9"/>
      <x:c r="BI1030" s="12" t="str">
        <x:v>No</x:v>
      </x:c>
      <x:c r="BJ1030" s="12" t="str"/>
      <x:c r="BK1030" s="12" t="str">
        <x:v>No</x:v>
      </x:c>
      <x:c r="BL1030" s="12" t="str"/>
      <x:c r="BM1030" s="12" t="str"/>
      <x:c r="BN1030" s="12" t="str"/>
      <x:c r="BO1030" s="12" t="str"/>
      <x:c r="BP1030" s="12" t="str"/>
      <x:c r="BQ1030" s="12" t="str"/>
    </x:row>
    <x:row r="1031">
      <x:c r="A1031" s="9" t="str">
        <x:v>tgcd-1</x:v>
      </x:c>
      <x:c r="B1031" s="9" t="str">
        <x:v>it-came-from-the-desert</x:v>
      </x:c>
      <x:c r="C1031" s="9" t="str">
        <x:v>TurboGrafx-CD</x:v>
      </x:c>
      <x:c r="D1031" s="9" t="str">
        <x:v>It Came from the Desert</x:v>
      </x:c>
      <x:c r="E1031" s="9" t="str"/>
      <x:c r="F1031" s="9" t="str">
        <x:v>Cinemaware</x:v>
      </x:c>
      <x:c r="G1031" s="9" t="str">
        <x:v>NEC Technologies</x:v>
      </x:c>
      <x:c r="H1031" s="9" t="n">
        <x:v>1991</x:v>
      </x:c>
      <x:c r="I1031" s="9" t="str">
        <x:v>Yes</x:v>
      </x:c>
      <x:c r="J1031" s="9" t="str">
        <x:v>No</x:v>
      </x:c>
      <x:c r="K1031" s="9" t="str">
        <x:v>No</x:v>
      </x:c>
      <x:c r="L1031" s="9" t="str">
        <x:v>No</x:v>
      </x:c>
      <x:c r="M1031" s="9" t="str">
        <x:v>Action adventure with filmed scenes</x:v>
      </x:c>
      <x:c r="N1031" s="9" t="str">
        <x:v>Live-action</x:v>
      </x:c>
      <x:c r="O1031" s="9" t="n">
        <x:v>7</x:v>
      </x:c>
      <x:c r="P1031" s="9" t="str">
        <x:v>FMV adventure</x:v>
      </x:c>
      <x:c r="Q1031" s="9" t="str">
        <x:v>Released</x:v>
      </x:c>
      <x:c r="R1031" s="9" t="str">
        <x:v>Original production</x:v>
      </x:c>
      <x:c r="S1031" s="9" t="str">
        <x:v>None</x:v>
      </x:c>
      <x:c r="T1031" s="9" t="str">
        <x:v>Live actors shot on video for the story scenes (names verify)</x:v>
      </x:c>
      <x:c r="U1031" s="9" t="n">
        <x:v>1</x:v>
      </x:c>
      <x:c r="V1031" s="9" t="str">
        <x:v>Yes</x:v>
      </x:c>
      <x:c r="W1031" s="9" t="str">
        <x:v>TurboGrafx-CD or Turbo Duo (CD-ROM² System Card 2.0 or later; verify); PC Engine Duo plays the disc with a region adapter</x:v>
      </x:c>
      <x:c r="X1031" s="9" t="str">
        <x:v>Low</x:v>
      </x:c>
      <x:c r="Y1031" s="9" t="str"/>
      <x:c r="Z1031" s="9" t="str">
        <x:v>2–3 hr</x:v>
      </x:c>
      <x:c r="AA1031" s="9" t="str">
        <x:v>Cinemaware remade its Amiga B-movie homage with real actors on the TurboGrafx-CD: giant ants, a 1950s desert town and filmed scenes between the action.</x:v>
      </x:c>
      <x:c r="AB1031" s="9" t="str">
        <x:v>None known</x:v>
      </x:c>
      <x:c r="AC1031" s="9" t="str">
        <x:v>Digitised live-action scenes with a small palette and few frames per second, between top-down and side-view action sequences</x:v>
      </x:c>
      <x:c r="AD1031" s="9" t="str">
        <x:v>Moderate; the clock runs</x:v>
      </x:c>
      <x:c r="AE1031" s="9" t="str">
        <x:v>Several, by how far the ants get</x:v>
      </x:c>
      <x:c r="AF1031" s="9" t="str">
        <x:v>One of only two TurboGrafx-CD discs the US catalogue tags as FMV; the Amiga original (1989) used painted scenes, so the CD is the live-action version. Later remade for DOS and, in 2017, as a film.</x:v>
      </x:c>
      <x:c r="AG1031" s="9" t="str">
        <x:v>US TurboGrafx-CD only; the Amiga and DOS games are different productions</x:v>
      </x:c>
      <x:c r="AH1031" s="9" t="str">
        <x:v>No</x:v>
      </x:c>
      <x:c r="AI1031" s="9" t="str">
        <x:v>Easy</x:v>
      </x:c>
      <x:c r="AJ1031" s="9" t="str">
        <x:v>Original disc on a Turbo Duo or TurboGrafx-CD; emulation in Mednafen (Beetle PCE) with the system card BIOS</x:v>
      </x:c>
      <x:c r="AK1031" s="9" t="str">
        <x:v>Facts from blackfalcongames.net's US TurboGrafx-CD list and Wikipedia; the Amiga and DOS versions are not FMV and are not in the index.</x:v>
      </x:c>
      <x:c r="AL1031" s="10" t="n">
        <x:v>42.97</x:v>
      </x:c>
      <x:c r="AM1031" s="10" t="n">
        <x:v>78</x:v>
      </x:c>
      <x:c r="AN1031" s="10" t="n">
        <x:v>255</x:v>
      </x:c>
      <x:c r="AO1031" s="9" t="str">
        <x:v>2026-10-25</x:v>
      </x:c>
      <x:c r="AP1031" s="11" t="str">
        <x:f>HYPERLINK("https://www.pricecharting.com/game/turbografx-cd/it-came-from-the-desert","PriceCharting")</x:f>
        <x:v>PriceCharting</x:v>
      </x:c>
      <x:c r="AQ1031" s="9"/>
      <x:c r="AR1031" s="9"/>
      <x:c r="AS1031" s="9"/>
      <x:c r="AT1031" s="9"/>
      <x:c r="AU1031" s="9"/>
      <x:c r="AV1031" s="9"/>
      <x:c r="AW1031" s="9"/>
      <x:c r="AX1031" s="9"/>
      <x:c r="AY1031" s="9"/>
      <x:c r="AZ1031" s="9"/>
      <x:c r="BA1031" s="11" t="str">
        <x:f>HYPERLINK("https://www.mobygames.com/search/?q=It+Came+from+the+Desert","MobyGames")</x:f>
        <x:v>MobyGames</x:v>
      </x:c>
      <x:c r="BB1031" s="9" t="str"/>
      <x:c r="BC1031" s="9" t="str"/>
      <x:c r="BD1031" s="9"/>
      <x:c r="BE1031" s="11" t="str">
        <x:f>HYPERLINK("https://en.wikipedia.org/wiki/It_Came_from_the_Desert","Wikipedia")</x:f>
        <x:v>Wikipedia</x:v>
      </x:c>
      <x:c r="BF1031" s="11" t="str">
        <x:f>HYPERLINK("https://backloggd.com/search/games/It%20Came%20from%20the%20Desert/","Backloggd")</x:f>
        <x:v>Backloggd</x:v>
      </x:c>
      <x:c r="BG1031" s="9"/>
      <x:c r="BH1031" s="9"/>
      <x:c r="BI1031" s="12" t="str">
        <x:v>No</x:v>
      </x:c>
      <x:c r="BJ1031" s="12" t="str"/>
      <x:c r="BK1031" s="12" t="str">
        <x:v>No</x:v>
      </x:c>
      <x:c r="BL1031" s="12" t="str"/>
      <x:c r="BM1031" s="12" t="str"/>
      <x:c r="BN1031" s="12" t="str"/>
      <x:c r="BO1031" s="12" t="str"/>
      <x:c r="BP1031" s="12" t="str"/>
      <x:c r="BQ1031" s="12" t="str"/>
    </x:row>
    <x:row r="1032">
      <x:c r="A1032" s="9" t="str">
        <x:v>tgcd-2</x:v>
      </x:c>
      <x:c r="B1032" s="9" t="str">
        <x:v>sherlock-holmes-consulting-detective-vol-i</x:v>
      </x:c>
      <x:c r="C1032" s="9" t="str">
        <x:v>TurboGrafx-CD</x:v>
      </x:c>
      <x:c r="D1032" s="9" t="str">
        <x:v>Sherlock Holmes: Consulting Detective Vol. I</x:v>
      </x:c>
      <x:c r="E1032" s="9" t="str">
        <x:v>Sherlock Holmes Consulting Detective</x:v>
      </x:c>
      <x:c r="F1032" s="9" t="str">
        <x:v>ICOM Simulations</x:v>
      </x:c>
      <x:c r="G1032" s="9" t="str">
        <x:v>NEC Technologies</x:v>
      </x:c>
      <x:c r="H1032" s="9" t="n">
        <x:v>1991</x:v>
      </x:c>
      <x:c r="I1032" s="9" t="str">
        <x:v>Yes</x:v>
      </x:c>
      <x:c r="J1032" s="9" t="str">
        <x:v>No</x:v>
      </x:c>
      <x:c r="K1032" s="9" t="str">
        <x:v>No</x:v>
      </x:c>
      <x:c r="L1032" s="9" t="str">
        <x:v>No</x:v>
      </x:c>
      <x:c r="M1032" s="9" t="str">
        <x:v>FMV detective adventure</x:v>
      </x:c>
      <x:c r="N1032" s="9" t="str">
        <x:v>Live-action</x:v>
      </x:c>
      <x:c r="O1032" s="9" t="n">
        <x:v>10</x:v>
      </x:c>
      <x:c r="P1032" s="9" t="str">
        <x:v>FMV adventure</x:v>
      </x:c>
      <x:c r="Q1032" s="9" t="str">
        <x:v>Released</x:v>
      </x:c>
      <x:c r="R1032" s="9" t="str">
        <x:v>Original production</x:v>
      </x:c>
      <x:c r="S1032" s="9" t="str">
        <x:v>DOS, Macintosh, Sega CD, CD32, Tandy VIS, FM Towns</x:v>
      </x:c>
      <x:c r="T1032" s="9" t="str">
        <x:v>Peter Farley (Holmes), David Ian Davies (Watson) and a Chicago theatre cast; about 90 minutes of video</x:v>
      </x:c>
      <x:c r="U1032" s="9" t="n">
        <x:v>1</x:v>
      </x:c>
      <x:c r="V1032" s="9" t="str">
        <x:v>Yes</x:v>
      </x:c>
      <x:c r="W1032" s="9" t="str">
        <x:v>TurboGrafx-CD or Turbo Duo (CD-ROM² System Card 2.0 or later; verify); PC Engine Duo plays the disc with a region adapter</x:v>
      </x:c>
      <x:c r="X1032" s="9" t="str">
        <x:v>Low</x:v>
      </x:c>
      <x:c r="Y1032" s="9" t="str"/>
      <x:c r="Z1032" s="9" t="str">
        <x:v>2–4 hr for the three cases</x:v>
      </x:c>
      <x:c r="AA1032" s="9" t="str">
        <x:v>The first FMV game on an American console: three cases of filmed Victorian testimony, a London directory and a newspaper, a year before the Sega CD.</x:v>
      </x:c>
      <x:c r="AB1032" s="9" t="str">
        <x:v>None known</x:v>
      </x:c>
      <x:c r="AC1032" s="9" t="str">
        <x:v>Digitised live-action clips in a window, lower in colour and frame rate than the DOS CD-ROM</x:v>
      </x:c>
      <x:c r="AD1032" s="9" t="str">
        <x:v>Moderate; the cases need deduction, and the court quiz scores you</x:v>
      </x:c>
      <x:c r="AE1032" s="9" t="str">
        <x:v>Scored per case</x:v>
      </x:c>
      <x:c r="AF1032" s="9" t="str">
        <x:v>Released in 1991 for the TurboGrafx-CD, two years before the Sega CD version. The Mummy's Curse, The Mystified Murderess and The Tin Soldier.</x:v>
      </x:c>
      <x:c r="AG1032" s="9" t="str">
        <x:v>US TurboGrafx-CD; Japanese PC Engine CD-ROM² release by Victor (verify)</x:v>
      </x:c>
      <x:c r="AH1032" s="9" t="str">
        <x:v>No (TurboGrafx-CD); Zojoi's 2010s remakes with re-shot footage are on PC and iOS</x:v>
      </x:c>
      <x:c r="AI1032" s="9" t="str">
        <x:v>Easy</x:v>
      </x:c>
      <x:c r="AJ1032" s="9" t="str">
        <x:v>Original disc on a Turbo Duo or TurboGrafx-CD; emulation in Mednafen (Beetle PCE) with the system card BIOS</x:v>
      </x:c>
      <x:c r="AK1032" s="9" t="str">
        <x:v>Blackfalcongames.net tags it FMV Adventure in the US list.</x:v>
      </x:c>
      <x:c r="AL1032" s="10" t="n">
        <x:v>29.99</x:v>
      </x:c>
      <x:c r="AM1032" s="10" t="n">
        <x:v>61.5</x:v>
      </x:c>
      <x:c r="AN1032" s="10" t="n">
        <x:v>120</x:v>
      </x:c>
      <x:c r="AO1032" s="9" t="str">
        <x:v>2026-10-25</x:v>
      </x:c>
      <x:c r="AP1032" s="11" t="str">
        <x:f>HYPERLINK("https://www.pricecharting.com/game/turbografx-cd/sherlock-holmes-consulting-detective","PriceCharting")</x:f>
        <x:v>PriceCharting</x:v>
      </x:c>
      <x:c r="AQ1032" s="9"/>
      <x:c r="AR1032" s="9"/>
      <x:c r="AS1032" s="9"/>
      <x:c r="AT1032" s="9"/>
      <x:c r="AU1032" s="9"/>
      <x:c r="AV1032" s="9"/>
      <x:c r="AW1032" s="9"/>
      <x:c r="AX1032" s="9"/>
      <x:c r="AY1032" s="9"/>
      <x:c r="AZ1032" s="9"/>
      <x:c r="BA1032" s="11" t="str">
        <x:f>HYPERLINK("https://www.mobygames.com/search/?q=Sherlock+Holmes%3A+Consulting+Detective+Vol.+I","MobyGames")</x:f>
        <x:v>MobyGames</x:v>
      </x:c>
      <x:c r="BB1032" s="9" t="str">
        <x:v>88%</x:v>
      </x:c>
      <x:c r="BC1032" s="9" t="str">
        <x:v>average of 2 TurboGrafx-CD reviews on Wikipedia (Dragon, Electronic Gaming Monthly)</x:v>
      </x:c>
      <x:c r="BD1032" s="9" t="str">
        <x:f>HYPERLINK("https://en.wikipedia.org/wiki/Sherlock_Holmes%3A_Consulting_Detective","Source")</x:f>
        <x:v>Source</x:v>
      </x:c>
      <x:c r="BE1032" s="11" t="str">
        <x:f>HYPERLINK("https://en.wikipedia.org/wiki/Sherlock_Holmes:_Consulting_Detective","Wikipedia")</x:f>
        <x:v>Wikipedia</x:v>
      </x:c>
      <x:c r="BF1032" s="11" t="str">
        <x:f>HYPERLINK("https://backloggd.com/search/games/Sherlock%20Holmes%3A%20Consulting%20Detective%20Vol.%20I/","Backloggd")</x:f>
        <x:v>Backloggd</x:v>
      </x:c>
      <x:c r="BG1032" s="9"/>
      <x:c r="BH1032" s="9"/>
      <x:c r="BI1032" s="12" t="str">
        <x:v>No</x:v>
      </x:c>
      <x:c r="BJ1032" s="12" t="str"/>
      <x:c r="BK1032" s="12" t="str">
        <x:v>No</x:v>
      </x:c>
      <x:c r="BL1032" s="12" t="str"/>
      <x:c r="BM1032" s="12" t="str"/>
      <x:c r="BN1032" s="12" t="str"/>
      <x:c r="BO1032" s="12" t="str"/>
      <x:c r="BP1032" s="12" t="str"/>
      <x:c r="BQ1032" s="12" t="str"/>
    </x:row>
    <x:row r="1033">
      <x:c r="A1033" s="9" t="str">
        <x:v>tgcd-3</x:v>
      </x:c>
      <x:c r="B1033" s="9" t="str">
        <x:v>sherlock-holmes-consulting-detective-vol-ii</x:v>
      </x:c>
      <x:c r="C1033" s="9" t="str">
        <x:v>TurboGrafx-CD</x:v>
      </x:c>
      <x:c r="D1033" s="9" t="str">
        <x:v>Sherlock Holmes: Consulting Detective Vol. II</x:v>
      </x:c>
      <x:c r="E1033" s="9" t="str">
        <x:v>Sherlock Holmes Consulting Detective Volume 2</x:v>
      </x:c>
      <x:c r="F1033" s="9" t="str">
        <x:v>ICOM Simulations</x:v>
      </x:c>
      <x:c r="G1033" s="9" t="str">
        <x:v>Turbo Technologies</x:v>
      </x:c>
      <x:c r="H1033" s="9" t="n">
        <x:v>1993</x:v>
      </x:c>
      <x:c r="I1033" s="9" t="str">
        <x:v>Yes</x:v>
      </x:c>
      <x:c r="J1033" s="9" t="str">
        <x:v>No</x:v>
      </x:c>
      <x:c r="K1033" s="9" t="str">
        <x:v>No</x:v>
      </x:c>
      <x:c r="L1033" s="9" t="str">
        <x:v>No</x:v>
      </x:c>
      <x:c r="M1033" s="9" t="str">
        <x:v>FMV detective adventure</x:v>
      </x:c>
      <x:c r="N1033" s="9" t="str">
        <x:v>Live-action</x:v>
      </x:c>
      <x:c r="O1033" s="9" t="n">
        <x:v>10</x:v>
      </x:c>
      <x:c r="P1033" s="9" t="str">
        <x:v>FMV adventure</x:v>
      </x:c>
      <x:c r="Q1033" s="9" t="str">
        <x:v>Released</x:v>
      </x:c>
      <x:c r="R1033" s="9" t="str">
        <x:v>Original production</x:v>
      </x:c>
      <x:c r="S1033" s="9" t="str">
        <x:v>DOS, Macintosh, Sega CD, Tandy VIS</x:v>
      </x:c>
      <x:c r="T1033" s="9" t="str">
        <x:v>Peter Farley (Holmes), David Ian Davies (Watson) and the Chicago cast</x:v>
      </x:c>
      <x:c r="U1033" s="9" t="n">
        <x:v>1</x:v>
      </x:c>
      <x:c r="V1033" s="9" t="str">
        <x:v>Yes</x:v>
      </x:c>
      <x:c r="W1033" s="9" t="str">
        <x:v>TurboGrafx-CD or Turbo Duo (CD-ROM² System Card 2.0 or later; verify); PC Engine Duo plays the disc with a region adapter</x:v>
      </x:c>
      <x:c r="X1033" s="9" t="str">
        <x:v>Low</x:v>
      </x:c>
      <x:c r="Y1033" s="9" t="str"/>
      <x:c r="Z1033" s="9" t="str">
        <x:v>2–4 hr for the three cases</x:v>
      </x:c>
      <x:c r="AA1033" s="9" t="str">
        <x:v>Three more filmed cases (the dead circus lions, the stolen DeKuyper paintings, the gun-maker's murder), on the Turbo Duo in 1993.</x:v>
      </x:c>
      <x:c r="AB1033" s="9" t="str">
        <x:v>None known</x:v>
      </x:c>
      <x:c r="AC1033" s="9" t="str">
        <x:v>Digitised live-action clips in a window</x:v>
      </x:c>
      <x:c r="AD1033" s="9" t="str">
        <x:v>Moderate</x:v>
      </x:c>
      <x:c r="AE1033" s="9" t="str">
        <x:v>Scored per case</x:v>
      </x:c>
      <x:c r="AF1033" s="9" t="str">
        <x:v>Computer Gaming World (March 1993) praised the interface and video and wanted five cases instead of three. The Turbo Duo release came in 1993 under Turbo Technologies, after NEC left the US market.</x:v>
      </x:c>
      <x:c r="AG1033" s="9" t="str">
        <x:v>US Turbo Duo release</x:v>
      </x:c>
      <x:c r="AH1033" s="9" t="str">
        <x:v>No (this volume); no restored edition verified. The later restoration covers a different volume.</x:v>
      </x:c>
      <x:c r="AI1033" s="9" t="str">
        <x:v>Easy</x:v>
      </x:c>
      <x:c r="AJ1033" s="9" t="str">
        <x:v>Original disc on the appropriate system or a compatible emulator; no restoration of this volume verified.</x:v>
      </x:c>
      <x:c r="AK1033" s="9" t="str">
        <x:v>Blackfalcongames.net lists it as a 1993 Turbo Technologies release.</x:v>
      </x:c>
      <x:c r="AL1033" s="10" t="n">
        <x:v>30.94</x:v>
      </x:c>
      <x:c r="AM1033" s="10" t="n">
        <x:v>78.63</x:v>
      </x:c>
      <x:c r="AN1033" s="10" t="n">
        <x:v>140.68</x:v>
      </x:c>
      <x:c r="AO1033" s="9" t="str">
        <x:v>2026-10-25</x:v>
      </x:c>
      <x:c r="AP1033" s="11" t="str">
        <x:f>HYPERLINK("https://www.pricecharting.com/game/turbografx-cd/sherlock-holmes-consulting-detective-volume-ii","PriceCharting")</x:f>
        <x:v>PriceCharting</x:v>
      </x:c>
      <x:c r="AQ1033" s="9"/>
      <x:c r="AR1033" s="9"/>
      <x:c r="AS1033" s="9"/>
      <x:c r="AT1033" s="9"/>
      <x:c r="AU1033" s="9"/>
      <x:c r="AV1033" s="9"/>
      <x:c r="AW1033" s="9"/>
      <x:c r="AX1033" s="9"/>
      <x:c r="AY1033" s="9"/>
      <x:c r="AZ1033" s="9"/>
      <x:c r="BA1033" s="11" t="str">
        <x:f>HYPERLINK("https://www.mobygames.com/search/?q=Sherlock+Holmes%3A+Consulting+Detective+Vol.+II","MobyGames")</x:f>
        <x:v>MobyGames</x:v>
      </x:c>
      <x:c r="BB1033" s="9" t="str"/>
      <x:c r="BC1033" s="9" t="str"/>
      <x:c r="BD1033" s="9"/>
      <x:c r="BE1033" s="11" t="str">
        <x:f>HYPERLINK("https://en.wikipedia.org/wiki/Sherlock_Holmes:_Consulting_Detective_Vol._II","Wikipedia")</x:f>
        <x:v>Wikipedia</x:v>
      </x:c>
      <x:c r="BF1033" s="11" t="str">
        <x:f>HYPERLINK("https://backloggd.com/search/games/Sherlock%20Holmes%3A%20Consulting%20Detective%20Vol.%20II/","Backloggd")</x:f>
        <x:v>Backloggd</x:v>
      </x:c>
      <x:c r="BG1033" s="9"/>
      <x:c r="BH1033" s="9"/>
      <x:c r="BI1033" s="12" t="str">
        <x:v>No</x:v>
      </x:c>
      <x:c r="BJ1033" s="12" t="str"/>
      <x:c r="BK1033" s="12" t="str">
        <x:v>No</x:v>
      </x:c>
      <x:c r="BL1033" s="12" t="str"/>
      <x:c r="BM1033" s="12" t="str"/>
      <x:c r="BN1033" s="12" t="str"/>
      <x:c r="BO1033" s="12" t="str"/>
      <x:c r="BP1033" s="12" t="str"/>
      <x:c r="BQ1033" s="12" t="str"/>
    </x:row>
    <x:row r="1034">
      <x:c r="A1034" s="9" t="str">
        <x:v>tgcd-4</x:v>
      </x:c>
      <x:c r="B1034" s="9" t="str">
        <x:v>john-madden-duo-cd-football</x:v>
      </x:c>
      <x:c r="C1034" s="9" t="str">
        <x:v>TurboGrafx-CD</x:v>
      </x:c>
      <x:c r="D1034" s="9" t="str">
        <x:v>John Madden Duo CD Football</x:v>
      </x:c>
      <x:c r="E1034" s="9" t="str"/>
      <x:c r="F1034" s="9" t="str">
        <x:v>Hudson Soft</x:v>
      </x:c>
      <x:c r="G1034" s="9" t="str">
        <x:v>Hudson Soft (Turbo Technologies)</x:v>
      </x:c>
      <x:c r="H1034" s="9" t="n">
        <x:v>1993</x:v>
      </x:c>
      <x:c r="I1034" s="9" t="str">
        <x:v>Yes</x:v>
      </x:c>
      <x:c r="J1034" s="9" t="str">
        <x:v>No</x:v>
      </x:c>
      <x:c r="K1034" s="9" t="str">
        <x:v>No</x:v>
      </x:c>
      <x:c r="L1034" s="9" t="str">
        <x:v>No</x:v>
      </x:c>
      <x:c r="M1034" s="9" t="str">
        <x:v>American football</x:v>
      </x:c>
      <x:c r="N1034" s="9" t="str">
        <x:v>Live-action</x:v>
      </x:c>
      <x:c r="O1034" s="9" t="n">
        <x:v>2</x:v>
      </x:c>
      <x:c r="P1034" s="9" t="str">
        <x:v>Cutscenes only</x:v>
      </x:c>
      <x:c r="Q1034" s="9" t="str">
        <x:v>Released</x:v>
      </x:c>
      <x:c r="R1034" s="9" t="str">
        <x:v>Original production</x:v>
      </x:c>
      <x:c r="S1034" s="9" t="str">
        <x:v>None (Madden '93 on Genesis/SNES is the base game)</x:v>
      </x:c>
      <x:c r="T1034" s="9" t="str">
        <x:v>John Madden in digitised video clips; a filmed referee</x:v>
      </x:c>
      <x:c r="U1034" s="9" t="n">
        <x:v>1</x:v>
      </x:c>
      <x:c r="V1034" s="9" t="str">
        <x:v>Yes</x:v>
      </x:c>
      <x:c r="W1034" s="9" t="str">
        <x:v>TurboGrafx-CD or Turbo Duo (CD-ROM² System Card 2.0 or later; verify); PC Engine Duo plays the disc with a region adapter</x:v>
      </x:c>
      <x:c r="X1034" s="9" t="str">
        <x:v>Low–Med</x:v>
      </x:c>
      <x:c r="Y1034" s="9" t="str">
        <x:v>Madden footage (EA/NFL)</x:v>
      </x:c>
      <x:c r="Z1034" s="9" t="str">
        <x:v>20–30 min per game</x:v>
      </x:c>
      <x:c r="AA1034" s="9" t="str">
        <x:v>Madden '93 on the Turbo Duo, with the disc spent on Madden's voice and short video clips for touchdowns, first downs and injuries.</x:v>
      </x:c>
      <x:c r="AB1034" s="9" t="str">
        <x:v>None known</x:v>
      </x:c>
      <x:c r="AC1034" s="9" t="str">
        <x:v>Short digitised clips of Madden and a referee, plus a video intro, between a conventional Madden game</x:v>
      </x:c>
      <x:c r="AD1034" s="9" t="str">
        <x:v>Adjustable</x:v>
      </x:c>
      <x:c r="AE1034" s="9" t="str">
        <x:v>None</x:v>
      </x:c>
      <x:c r="AF1034" s="9" t="str">
        <x:v>The only Madden on an NEC system. EGM scored it 7, 8, 7 and 8; Martin Alessi called the play smooth and the players cartoony.</x:v>
      </x:c>
      <x:c r="AG1034" s="9" t="str">
        <x:v>US Turbo Duo release</x:v>
      </x:c>
      <x:c r="AH1034" s="9" t="str">
        <x:v>No</x:v>
      </x:c>
      <x:c r="AI1034" s="9" t="str">
        <x:v>Easy</x:v>
      </x:c>
      <x:c r="AJ1034" s="9" t="str">
        <x:v>Original disc on a Turbo Duo or TurboGrafx-CD; emulation in Mednafen (Beetle PCE) with the system card BIOS</x:v>
      </x:c>
      <x:c r="AK1034" s="9" t="str">
        <x:v>Kept under the small-library rule (every TurboGrafx-CD disc with filmed video); the video is garnish. Facts from Giant Bomb.</x:v>
      </x:c>
      <x:c r="AL1034" s="10" t="n">
        <x:v>77.09</x:v>
      </x:c>
      <x:c r="AM1034" s="10" t="n">
        <x:v>99.99</x:v>
      </x:c>
      <x:c r="AN1034" s="10" t="n">
        <x:v>136.05</x:v>
      </x:c>
      <x:c r="AO1034" s="9" t="str">
        <x:v>2026-10-25</x:v>
      </x:c>
      <x:c r="AP1034" s="11" t="str">
        <x:f>HYPERLINK("https://www.pricecharting.com/game/turbografx-cd/john-madden-duo-cd-football","PriceCharting")</x:f>
        <x:v>PriceCharting</x:v>
      </x:c>
      <x:c r="AQ1034" s="9"/>
      <x:c r="AR1034" s="9"/>
      <x:c r="AS1034" s="9"/>
      <x:c r="AT1034" s="9"/>
      <x:c r="AU1034" s="9"/>
      <x:c r="AV1034" s="9"/>
      <x:c r="AW1034" s="9"/>
      <x:c r="AX1034" s="9"/>
      <x:c r="AY1034" s="9"/>
      <x:c r="AZ1034" s="9"/>
      <x:c r="BA1034" s="11" t="str">
        <x:f>HYPERLINK("https://www.mobygames.com/search/?q=John+Madden+Duo+CD+Football","MobyGames")</x:f>
        <x:v>MobyGames</x:v>
      </x:c>
      <x:c r="BB1034" s="9" t="str">
        <x:v>75%</x:v>
      </x:c>
      <x:c r="BC1034" s="9" t="str">
        <x:v>EGM 7/8/7/8 of 10</x:v>
      </x:c>
      <x:c r="BD1034" s="9" t="str">
        <x:f>HYPERLINK("https://www.giantbomb.com/games/3030-21698/","Source")</x:f>
        <x:v>Source</x:v>
      </x:c>
      <x:c r="BE1034" s="9"/>
      <x:c r="BF1034" s="11" t="str">
        <x:f>HYPERLINK("https://backloggd.com/search/games/John%20Madden%20Duo%20CD%20Football/","Backloggd")</x:f>
        <x:v>Backloggd</x:v>
      </x:c>
      <x:c r="BG1034" s="9"/>
      <x:c r="BH1034" s="9"/>
      <x:c r="BI1034" s="12" t="str">
        <x:v>No</x:v>
      </x:c>
      <x:c r="BJ1034" s="12" t="str"/>
      <x:c r="BK1034" s="12" t="str">
        <x:v>No</x:v>
      </x:c>
      <x:c r="BL1034" s="12" t="str"/>
      <x:c r="BM1034" s="12" t="str"/>
      <x:c r="BN1034" s="12" t="str"/>
      <x:c r="BO1034" s="12" t="str"/>
      <x:c r="BP1034" s="12" t="str"/>
      <x:c r="BQ1034" s="12" t="str"/>
    </x:row>
    <x:row r="1035">
      <x:c r="A1035" s="9" t="str">
        <x:v>playdia-1</x:v>
      </x:c>
      <x:c r="B1035" s="9" t="str">
        <x:v>dragon-ball-z-shin-saiyajin-zetsumetsu-keikaku-uchu-hen</x:v>
      </x:c>
      <x:c r="C1035" s="9" t="str">
        <x:v>Bandai Playdia</x:v>
      </x:c>
      <x:c r="D1035" s="9" t="str">
        <x:v>Dragon Ball Z: Shin Saiyajin Zetsumetsu Keikaku – Uchū-hen</x:v>
      </x:c>
      <x:c r="E1035" s="9" t="str">
        <x:v>Dragon Ball Z: Plan to Eradicate the Saiyans – Space Chapter (BAPD-01)</x:v>
      </x:c>
      <x:c r="F1035" s="9" t="str">
        <x:v>Bandai (verify)</x:v>
      </x:c>
      <x:c r="G1035" s="9" t="str">
        <x:v>Bandai</x:v>
      </x:c>
      <x:c r="H1035" s="9" t="n">
        <x:v>1994</x:v>
      </x:c>
      <x:c r="I1035" s="9" t="str">
        <x:v>No</x:v>
      </x:c>
      <x:c r="J1035" s="9" t="str">
        <x:v>Yes</x:v>
      </x:c>
      <x:c r="K1035" s="9" t="str">
        <x:v>No</x:v>
      </x:c>
      <x:c r="L1035" s="9" t="str">
        <x:v>No</x:v>
      </x:c>
      <x:c r="M1035" s="9" t="str">
        <x:v>Branching anime adventure</x:v>
      </x:c>
      <x:c r="N1035" s="9" t="str">
        <x:v>Animated</x:v>
      </x:c>
      <x:c r="O1035" s="9" t="n">
        <x:v>10</x:v>
      </x:c>
      <x:c r="P1035" s="9" t="str">
        <x:v>FMV adventure</x:v>
      </x:c>
      <x:c r="Q1035" s="9" t="str">
        <x:v>Released</x:v>
      </x:c>
      <x:c r="R1035" s="9" t="str">
        <x:v>Licensed anime or tokusatsu footage</x:v>
      </x:c>
      <x:c r="S1035" s="9" t="str">
        <x:v>None</x:v>
      </x:c>
      <x:c r="T1035" s="9" t="str">
        <x:v>The TV anime's Japanese voice cast (Masako Nozawa as Goku)</x:v>
      </x:c>
      <x:c r="U1035" s="9" t="n">
        <x:v>1</x:v>
      </x:c>
      <x:c r="V1035" s="9" t="str">
        <x:v>No</x:v>
      </x:c>
      <x:c r="W1035" s="9" t="str">
        <x:v>Playdia (BA-001) with its infrared pad; the system has no save memory (verify)</x:v>
      </x:c>
      <x:c r="X1035" s="9" t="str">
        <x:v>Med–High</x:v>
      </x:c>
      <x:c r="Y1035" s="9" t="str">
        <x:v>Toei Dragon Ball Z footage and music</x:v>
      </x:c>
      <x:c r="Z1035" s="9" t="str">
        <x:v>30–45 min</x:v>
      </x:c>
      <x:c r="AA1035" s="9" t="str">
        <x:v>The Playdia's launch game and the reason most people know the console: the Saiyan-eradication story as branching anime, with Goku looking confused when you pick wrong.</x:v>
      </x:c>
      <x:c r="AB1035" s="9" t="str">
        <x:v>None known</x:v>
      </x:c>
      <x:c r="AC1035" s="9" t="str">
        <x:v>Full-screen video stops at a prompt and the pad picks A or B (or a direction); the clip then continues. The hardware draws almost nothing itself; the footage is the 1993 Official Visual Guide VHS, slightly more pixelated, with extra scenes</x:v>
      </x:c>
      <x:c r="AD1035" s="9" t="str">
        <x:v>Easy; wrong picks loop back</x:v>
      </x:c>
      <x:c r="AE1035" s="9" t="str">
        <x:v>Several, by path</x:v>
      </x:c>
      <x:c r="AF1035" s="9" t="str">
        <x:v>Kanzenshuu catalogues Uchū-hen as BAPD-01 and the September 1994 launch disc, with Chikyū-hen in December; Wikipedia's list has them the other way round (verify). ¥4,800 each. The footage was later an extra on the 2003 Dragon Box, and Raging Blast 2 (2010) re-animated the story.</x:v>
      </x:c>
      <x:c r="AG1035" s="9" t="str">
        <x:v>Two discs in the story: Uchū-hen (space) and Chikyū-hen (Earth), sold apart</x:v>
      </x:c>
      <x:c r="AH1035" s="9" t="str">
        <x:v>No</x:v>
      </x:c>
      <x:c r="AI1035" s="9" t="str">
        <x:v>Import</x:v>
      </x:c>
      <x:c r="AJ1035" s="9" t="str">
        <x:v>Original disc on an imported Playdia (NTSC-J, no region lock beyond the hardware); MAME's Playdia driver is preliminary (verify)</x:v>
      </x:c>
      <x:c r="AK1035" s="9" t="str">
        <x:v>Facts from kanzenshuu.com and retrohandhelds.gg. The ordering of the two chapters differs between sources; both are 1994.</x:v>
      </x:c>
      <x:c r="AL1035" s="10"/>
      <x:c r="AM1035" s="10"/>
      <x:c r="AN1035" s="10"/>
      <x:c r="AO1035" s="9"/>
      <x:c r="AP1035" s="11" t="str">
        <x:f>HYPERLINK("https://www.pricecharting.com/search-products?q=Dragon+Ball+Z%3A+Shin+Saiyajin+Zetsumetsu+Keikaku+%E2%80%93+Uch%C5%AB-hen+playdia&amp;type=prices","PriceCharting")</x:f>
        <x:v>PriceCharting</x:v>
      </x:c>
      <x:c r="AQ1035" s="9"/>
      <x:c r="AR1035" s="9"/>
      <x:c r="AS1035" s="9"/>
      <x:c r="AT1035" s="9"/>
      <x:c r="AU1035" s="9"/>
      <x:c r="AV1035" s="9"/>
      <x:c r="AW1035" s="9"/>
      <x:c r="AX1035" s="9"/>
      <x:c r="AY1035" s="9"/>
      <x:c r="AZ1035" s="9"/>
      <x:c r="BA1035" s="11" t="str">
        <x:f>HYPERLINK("https://www.mobygames.com/search/?q=Dragon+Ball+Z%3A+Shin+Saiyajin+Zetsumetsu+Keikaku+%E2%80%93+Uch%C5%AB-hen","MobyGames")</x:f>
        <x:v>MobyGames</x:v>
      </x:c>
      <x:c r="BB1035" s="9" t="str"/>
      <x:c r="BC1035" s="9" t="str"/>
      <x:c r="BD1035" s="9"/>
      <x:c r="BE1035" s="11" t="str">
        <x:f>HYPERLINK("https://en.wikipedia.org/wiki/Playdia","Wikipedia")</x:f>
        <x:v>Wikipedia</x:v>
      </x:c>
      <x:c r="BF1035" s="11" t="str">
        <x:f>HYPERLINK("https://backloggd.com/search/games/Dragon%20Ball%20Z%3A%20Shin%20Saiyajin%20Zetsumetsu%20Keikaku%20%E2%80%93%20Uch%C5%AB-hen/","Backloggd")</x:f>
        <x:v>Backloggd</x:v>
      </x:c>
      <x:c r="BG1035" s="9"/>
      <x:c r="BH1035" s="9"/>
      <x:c r="BI1035" s="12" t="str">
        <x:v>No</x:v>
      </x:c>
      <x:c r="BJ1035" s="12" t="str"/>
      <x:c r="BK1035" s="12" t="str">
        <x:v>No</x:v>
      </x:c>
      <x:c r="BL1035" s="12" t="str"/>
      <x:c r="BM1035" s="12" t="str"/>
      <x:c r="BN1035" s="12" t="str"/>
      <x:c r="BO1035" s="12" t="str"/>
      <x:c r="BP1035" s="12" t="str"/>
      <x:c r="BQ1035" s="12" t="str"/>
    </x:row>
    <x:row r="1036">
      <x:c r="A1036" s="9" t="str">
        <x:v>playdia-2</x:v>
      </x:c>
      <x:c r="B1036" s="9" t="str">
        <x:v>dragon-ball-z-shin-saiyajin-zetsumetsu-keikaku-chikyu-hen</x:v>
      </x:c>
      <x:c r="C1036" s="9" t="str">
        <x:v>Bandai Playdia</x:v>
      </x:c>
      <x:c r="D1036" s="9" t="str">
        <x:v>Dragon Ball Z: Shin Saiyajin Zetsumetsu Keikaku – Chikyū-hen</x:v>
      </x:c>
      <x:c r="E1036" s="9" t="str">
        <x:v>Dragon Ball Z: Plan to Eradicate the Saiyans – Earth Chapter (BAPD-11)</x:v>
      </x:c>
      <x:c r="F1036" s="9" t="str">
        <x:v>Bandai (verify)</x:v>
      </x:c>
      <x:c r="G1036" s="9" t="str">
        <x:v>Bandai</x:v>
      </x:c>
      <x:c r="H1036" s="9" t="n">
        <x:v>1994</x:v>
      </x:c>
      <x:c r="I1036" s="9" t="str">
        <x:v>No</x:v>
      </x:c>
      <x:c r="J1036" s="9" t="str">
        <x:v>Yes</x:v>
      </x:c>
      <x:c r="K1036" s="9" t="str">
        <x:v>No</x:v>
      </x:c>
      <x:c r="L1036" s="9" t="str">
        <x:v>No</x:v>
      </x:c>
      <x:c r="M1036" s="9" t="str">
        <x:v>Branching anime adventure</x:v>
      </x:c>
      <x:c r="N1036" s="9" t="str">
        <x:v>Animated</x:v>
      </x:c>
      <x:c r="O1036" s="9" t="n">
        <x:v>10</x:v>
      </x:c>
      <x:c r="P1036" s="9" t="str">
        <x:v>FMV adventure</x:v>
      </x:c>
      <x:c r="Q1036" s="9" t="str">
        <x:v>Released</x:v>
      </x:c>
      <x:c r="R1036" s="9" t="str">
        <x:v>Licensed anime or tokusatsu footage</x:v>
      </x:c>
      <x:c r="S1036" s="9" t="str">
        <x:v>None</x:v>
      </x:c>
      <x:c r="T1036" s="9" t="str">
        <x:v>The TV anime's Japanese voice cast</x:v>
      </x:c>
      <x:c r="U1036" s="9" t="n">
        <x:v>1</x:v>
      </x:c>
      <x:c r="V1036" s="9" t="str">
        <x:v>No</x:v>
      </x:c>
      <x:c r="W1036" s="9" t="str">
        <x:v>Playdia (BA-001) with its infrared pad; the system has no save memory (verify)</x:v>
      </x:c>
      <x:c r="X1036" s="9" t="str">
        <x:v>Med–High</x:v>
      </x:c>
      <x:c r="Y1036" s="9" t="str">
        <x:v>Toei Dragon Ball Z footage and music</x:v>
      </x:c>
      <x:c r="Z1036" s="9" t="str">
        <x:v>30–45 min</x:v>
      </x:c>
      <x:c r="AA1036" s="9" t="str">
        <x:v>The Earth half of the Playdia's Dragon Ball Z story: Destron Gas, the Ghost Warriors and a left-or-right choice at every turn.</x:v>
      </x:c>
      <x:c r="AB1036" s="9" t="str">
        <x:v>None known</x:v>
      </x:c>
      <x:c r="AC1036" s="9" t="str">
        <x:v>Full-screen video stops at a prompt and the pad picks A or B (or a direction); the clip then continues. The hardware draws almost nothing itself; Official Visual Guide footage with extra scenes</x:v>
      </x:c>
      <x:c r="AD1036" s="9" t="str">
        <x:v>Easy</x:v>
      </x:c>
      <x:c r="AE1036" s="9" t="str">
        <x:v>Several, by path</x:v>
      </x:c>
      <x:c r="AF1036" s="9" t="str">
        <x:v>Fans in the 1990s often thought the Playdia discs and the VHS Visual Guides were the same thing. Hatchiyack, the boss machine, later became a playable Dragon Ball character.</x:v>
      </x:c>
      <x:c r="AG1036" s="9" t="str">
        <x:v>Companion to Uchū-hen</x:v>
      </x:c>
      <x:c r="AH1036" s="9" t="str">
        <x:v>No</x:v>
      </x:c>
      <x:c r="AI1036" s="9" t="str">
        <x:v>Import</x:v>
      </x:c>
      <x:c r="AJ1036" s="9" t="str">
        <x:v>Original disc on an imported Playdia (NTSC-J, no region lock beyond the hardware); MAME's Playdia driver is preliminary (verify)</x:v>
      </x:c>
      <x:c r="AK1036" s="9" t="str">
        <x:v>Facts from kanzenshuu.com; see Uchū-hen for the catalogue-order question.</x:v>
      </x:c>
      <x:c r="AL1036" s="10"/>
      <x:c r="AM1036" s="10"/>
      <x:c r="AN1036" s="10"/>
      <x:c r="AO1036" s="9"/>
      <x:c r="AP1036" s="11" t="str">
        <x:f>HYPERLINK("https://www.pricecharting.com/search-products?q=Dragon+Ball+Z%3A+Shin+Saiyajin+Zetsumetsu+Keikaku+%E2%80%93+Chiky%C5%AB-hen+playdia&amp;type=prices","PriceCharting")</x:f>
        <x:v>PriceCharting</x:v>
      </x:c>
      <x:c r="AQ1036" s="9"/>
      <x:c r="AR1036" s="9"/>
      <x:c r="AS1036" s="9"/>
      <x:c r="AT1036" s="9"/>
      <x:c r="AU1036" s="9"/>
      <x:c r="AV1036" s="9"/>
      <x:c r="AW1036" s="9"/>
      <x:c r="AX1036" s="9"/>
      <x:c r="AY1036" s="9"/>
      <x:c r="AZ1036" s="9"/>
      <x:c r="BA1036" s="11" t="str">
        <x:f>HYPERLINK("https://www.mobygames.com/search/?q=Dragon+Ball+Z%3A+Shin+Saiyajin+Zetsumetsu+Keikaku+%E2%80%93+Chiky%C5%AB-hen","MobyGames")</x:f>
        <x:v>MobyGames</x:v>
      </x:c>
      <x:c r="BB1036" s="9" t="str"/>
      <x:c r="BC1036" s="9" t="str"/>
      <x:c r="BD1036" s="9"/>
      <x:c r="BE1036" s="11" t="str">
        <x:f>HYPERLINK("https://en.wikipedia.org/wiki/Playdia","Wikipedia")</x:f>
        <x:v>Wikipedia</x:v>
      </x:c>
      <x:c r="BF1036" s="11" t="str">
        <x:f>HYPERLINK("https://backloggd.com/search/games/Dragon%20Ball%20Z%3A%20Shin%20Saiyajin%20Zetsumetsu%20Keikaku%20%E2%80%93%20Chiky%C5%AB-hen/","Backloggd")</x:f>
        <x:v>Backloggd</x:v>
      </x:c>
      <x:c r="BG1036" s="9"/>
      <x:c r="BH1036" s="9"/>
      <x:c r="BI1036" s="12" t="str">
        <x:v>No</x:v>
      </x:c>
      <x:c r="BJ1036" s="12" t="str"/>
      <x:c r="BK1036" s="12" t="str">
        <x:v>No</x:v>
      </x:c>
      <x:c r="BL1036" s="12" t="str"/>
      <x:c r="BM1036" s="12" t="str"/>
      <x:c r="BN1036" s="12" t="str"/>
      <x:c r="BO1036" s="12" t="str"/>
      <x:c r="BP1036" s="12" t="str"/>
      <x:c r="BQ1036" s="12" t="str"/>
    </x:row>
    <x:row r="1037">
      <x:c r="A1037" s="9" t="str">
        <x:v>playdia-3</x:v>
      </x:c>
      <x:c r="B1037" s="9" t="str">
        <x:v>sailor-moon-s-quiz-taiketsu</x:v>
      </x:c>
      <x:c r="C1037" s="9" t="str">
        <x:v>Bandai Playdia</x:v>
      </x:c>
      <x:c r="D1037" s="9" t="str">
        <x:v>Bishōjo Senshi Sailor Moon S: Quiz Taiketsu! Sailor Power Kesshū!!</x:v>
      </x:c>
      <x:c r="E1037" s="9" t="str">
        <x:v>Sailor Moon S: Quiz Showdown! Sailor Power Assemble!! (BAPD-02)</x:v>
      </x:c>
      <x:c r="F1037" s="9" t="str">
        <x:v>Bandai (verify)</x:v>
      </x:c>
      <x:c r="G1037" s="9" t="str">
        <x:v>Bandai</x:v>
      </x:c>
      <x:c r="H1037" s="9" t="n">
        <x:v>1994</x:v>
      </x:c>
      <x:c r="I1037" s="9" t="str">
        <x:v>No</x:v>
      </x:c>
      <x:c r="J1037" s="9" t="str">
        <x:v>Yes</x:v>
      </x:c>
      <x:c r="K1037" s="9" t="str">
        <x:v>No</x:v>
      </x:c>
      <x:c r="L1037" s="9" t="str">
        <x:v>No</x:v>
      </x:c>
      <x:c r="M1037" s="9" t="str">
        <x:v>Anime quiz</x:v>
      </x:c>
      <x:c r="N1037" s="9" t="str">
        <x:v>Animated</x:v>
      </x:c>
      <x:c r="O1037" s="9" t="n">
        <x:v>9</x:v>
      </x:c>
      <x:c r="P1037" s="9" t="str">
        <x:v>Game show / trivia</x:v>
      </x:c>
      <x:c r="Q1037" s="9" t="str">
        <x:v>Released</x:v>
      </x:c>
      <x:c r="R1037" s="9" t="str">
        <x:v>Licensed anime or tokusatsu footage</x:v>
      </x:c>
      <x:c r="S1037" s="9" t="str">
        <x:v>None</x:v>
      </x:c>
      <x:c r="T1037" s="9" t="str">
        <x:v>The Sailor Moon S voice cast</x:v>
      </x:c>
      <x:c r="U1037" s="9" t="n">
        <x:v>1</x:v>
      </x:c>
      <x:c r="V1037" s="9" t="str">
        <x:v>No</x:v>
      </x:c>
      <x:c r="W1037" s="9" t="str">
        <x:v>Playdia (BA-001) with its infrared pad; the system has no save memory (verify)</x:v>
      </x:c>
      <x:c r="X1037" s="9" t="str">
        <x:v>Med–High</x:v>
      </x:c>
      <x:c r="Y1037" s="9" t="str">
        <x:v>Toei Sailor Moon footage and music</x:v>
      </x:c>
      <x:c r="Z1037" s="9" t="str">
        <x:v>30–45 min</x:v>
      </x:c>
      <x:c r="AA1037" s="9" t="str">
        <x:v>A Sailor Moon S quiz disc for the launch: anime clips, then a question answered on the pad, with the Guardians cheering or groaning.</x:v>
      </x:c>
      <x:c r="AB1037" s="9" t="str">
        <x:v>None known</x:v>
      </x:c>
      <x:c r="AC1037" s="9" t="str">
        <x:v>Full-screen video stops at a prompt and the pad picks A or B (or a direction); the clip then continues. The hardware draws almost nothing itself; quiz questions over series footage</x:v>
      </x:c>
      <x:c r="AD1037" s="9" t="str">
        <x:v>Easy for a fan of the show; in Japanese</x:v>
      </x:c>
      <x:c r="AE1037" s="9" t="str">
        <x:v>Score</x:v>
      </x:c>
      <x:c r="AF1037" s="9" t="str">
        <x:v>Launch-day disc, 23 September 1994. The first of six Sailor Moon discs on the console, the rest of them preschool lessons.</x:v>
      </x:c>
      <x:c r="AG1037" s="9" t="str">
        <x:v>Single release</x:v>
      </x:c>
      <x:c r="AH1037" s="9" t="str">
        <x:v>No</x:v>
      </x:c>
      <x:c r="AI1037" s="9" t="str">
        <x:v>Import</x:v>
      </x:c>
      <x:c r="AJ1037" s="9" t="str">
        <x:v>Original disc on an imported Playdia (NTSC-J, no region lock beyond the hardware); MAME's Playdia driver is preliminary (verify)</x:v>
      </x:c>
      <x:c r="AK1037" s="9" t="str">
        <x:v>Facts inferred from the title and the console's format; the disc itself was not reviewed in any source found.</x:v>
      </x:c>
      <x:c r="AL1037" s="10"/>
      <x:c r="AM1037" s="10"/>
      <x:c r="AN1037" s="10"/>
      <x:c r="AO1037" s="9"/>
      <x:c r="AP1037" s="11" t="str">
        <x:f>HYPERLINK("https://www.pricecharting.com/search-products?q=Bish%C5%8Djo+Senshi+Sailor+Moon+S%3A+Quiz+Taiketsu%21+Sailor+Power+Kessh%C5%AB%21%21+playdia&amp;type=prices","PriceCharting")</x:f>
        <x:v>PriceCharting</x:v>
      </x:c>
      <x:c r="AQ1037" s="9"/>
      <x:c r="AR1037" s="9"/>
      <x:c r="AS1037" s="9"/>
      <x:c r="AT1037" s="9"/>
      <x:c r="AU1037" s="9"/>
      <x:c r="AV1037" s="9"/>
      <x:c r="AW1037" s="9"/>
      <x:c r="AX1037" s="9"/>
      <x:c r="AY1037" s="9"/>
      <x:c r="AZ1037" s="9"/>
      <x:c r="BA1037" s="11" t="str">
        <x:f>HYPERLINK("https://www.mobygames.com/search/?q=Bish%C5%8Djo+Senshi+Sailor+Moon+S%3A+Quiz+Taiketsu%21+Sailor+Power+Kessh%C5%AB%21%21","MobyGames")</x:f>
        <x:v>MobyGames</x:v>
      </x:c>
      <x:c r="BB1037" s="9" t="str"/>
      <x:c r="BC1037" s="9" t="str"/>
      <x:c r="BD1037" s="9"/>
      <x:c r="BE1037" s="9"/>
      <x:c r="BF1037" s="11" t="str">
        <x:f>HYPERLINK("https://backloggd.com/search/games/Bish%C5%8Djo%20Senshi%20Sailor%20Moon%20S%3A%20Quiz%20Taiketsu%21%20Sailor%20Power%20Kessh%C5%AB%21%21/","Backloggd")</x:f>
        <x:v>Backloggd</x:v>
      </x:c>
      <x:c r="BG1037" s="9"/>
      <x:c r="BH1037" s="9"/>
      <x:c r="BI1037" s="12" t="str">
        <x:v>No</x:v>
      </x:c>
      <x:c r="BJ1037" s="12" t="str"/>
      <x:c r="BK1037" s="12" t="str">
        <x:v>No</x:v>
      </x:c>
      <x:c r="BL1037" s="12" t="str"/>
      <x:c r="BM1037" s="12" t="str"/>
      <x:c r="BN1037" s="12" t="str"/>
      <x:c r="BO1037" s="12" t="str"/>
      <x:c r="BP1037" s="12" t="str"/>
      <x:c r="BQ1037" s="12" t="str"/>
    </x:row>
    <x:row r="1038">
      <x:c r="A1038" s="9" t="str">
        <x:v>playdia-4</x:v>
      </x:c>
      <x:c r="B1038" s="9" t="str">
        <x:v>sd-gundam-daizukan</x:v>
      </x:c>
      <x:c r="C1038" s="9" t="str">
        <x:v>Bandai Playdia</x:v>
      </x:c>
      <x:c r="D1038" s="9" t="str">
        <x:v>SD Gundam Daizukan</x:v>
      </x:c>
      <x:c r="E1038" s="9" t="str">
        <x:v>SD Gundam Encyclopedia (BAPD-03)</x:v>
      </x:c>
      <x:c r="F1038" s="9" t="str">
        <x:v>Bandai (verify)</x:v>
      </x:c>
      <x:c r="G1038" s="9" t="str">
        <x:v>Bandai</x:v>
      </x:c>
      <x:c r="H1038" s="9" t="n">
        <x:v>1994</x:v>
      </x:c>
      <x:c r="I1038" s="9" t="str">
        <x:v>No</x:v>
      </x:c>
      <x:c r="J1038" s="9" t="str">
        <x:v>Yes</x:v>
      </x:c>
      <x:c r="K1038" s="9" t="str">
        <x:v>No</x:v>
      </x:c>
      <x:c r="L1038" s="9" t="str">
        <x:v>No</x:v>
      </x:c>
      <x:c r="M1038" s="9" t="str">
        <x:v>Anime encyclopedia</x:v>
      </x:c>
      <x:c r="N1038" s="9" t="str">
        <x:v>Animated</x:v>
      </x:c>
      <x:c r="O1038" s="9" t="n">
        <x:v>10</x:v>
      </x:c>
      <x:c r="P1038" s="9" t="str">
        <x:v>Non-game video</x:v>
      </x:c>
      <x:c r="Q1038" s="9" t="str">
        <x:v>Released</x:v>
      </x:c>
      <x:c r="R1038" s="9" t="str">
        <x:v>Licensed anime or tokusatsu footage</x:v>
      </x:c>
      <x:c r="S1038" s="9" t="str">
        <x:v>None</x:v>
      </x:c>
      <x:c r="T1038" s="9" t="str">
        <x:v>SD Gundam narration</x:v>
      </x:c>
      <x:c r="U1038" s="9" t="n">
        <x:v>1</x:v>
      </x:c>
      <x:c r="V1038" s="9" t="str">
        <x:v>No</x:v>
      </x:c>
      <x:c r="W1038" s="9" t="str">
        <x:v>Playdia (BA-001) with its infrared pad; the system has no save memory (verify)</x:v>
      </x:c>
      <x:c r="X1038" s="9" t="str">
        <x:v>Med</x:v>
      </x:c>
      <x:c r="Y1038" s="9" t="str">
        <x:v>Sunrise Gundam footage</x:v>
      </x:c>
      <x:c r="Z1038" s="9" t="str">
        <x:v>30–60 min</x:v>
      </x:c>
      <x:c r="AA1038" s="9" t="str">
        <x:v>A mobile-suit picture book on disc: SD Gundam clips that lecture you on the lore, with the pad turning the pages.</x:v>
      </x:c>
      <x:c r="AB1038" s="9" t="str">
        <x:v>None known</x:v>
      </x:c>
      <x:c r="AC1038" s="9" t="str">
        <x:v>Video slideshows and anime clips chosen from menus</x:v>
      </x:c>
      <x:c r="AD1038" s="9" t="str">
        <x:v>None</x:v>
      </x:c>
      <x:c r="AE1038" s="9" t="str">
        <x:v>None</x:v>
      </x:c>
      <x:c r="AF1038" s="9" t="str">
        <x:v>Launch-day disc. retrohandhelds.gg describes it as FMV slideshows that lecture the player about the series.</x:v>
      </x:c>
      <x:c r="AG1038" s="9" t="str">
        <x:v>Single release</x:v>
      </x:c>
      <x:c r="AH1038" s="9" t="str">
        <x:v>No</x:v>
      </x:c>
      <x:c r="AI1038" s="9" t="str">
        <x:v>Import</x:v>
      </x:c>
      <x:c r="AJ1038" s="9" t="str">
        <x:v>Original disc on an imported Playdia (NTSC-J, no region lock beyond the hardware); MAME's Playdia driver is preliminary (verify)</x:v>
      </x:c>
      <x:c r="AK1038" s="9" t="str">
        <x:v>Kept as a Playdia disc (the system is small-library), categorised as non-game video.</x:v>
      </x:c>
      <x:c r="AL1038" s="10"/>
      <x:c r="AM1038" s="10"/>
      <x:c r="AN1038" s="10"/>
      <x:c r="AO1038" s="9"/>
      <x:c r="AP1038" s="11" t="str">
        <x:f>HYPERLINK("https://www.pricecharting.com/search-products?q=SD+Gundam+Daizukan+playdia&amp;type=prices","PriceCharting")</x:f>
        <x:v>PriceCharting</x:v>
      </x:c>
      <x:c r="AQ1038" s="9"/>
      <x:c r="AR1038" s="9"/>
      <x:c r="AS1038" s="9"/>
      <x:c r="AT1038" s="9"/>
      <x:c r="AU1038" s="9"/>
      <x:c r="AV1038" s="9"/>
      <x:c r="AW1038" s="9"/>
      <x:c r="AX1038" s="9"/>
      <x:c r="AY1038" s="9"/>
      <x:c r="AZ1038" s="9"/>
      <x:c r="BA1038" s="11" t="str">
        <x:f>HYPERLINK("https://www.mobygames.com/search/?q=SD+Gundam+Daizukan","MobyGames")</x:f>
        <x:v>MobyGames</x:v>
      </x:c>
      <x:c r="BB1038" s="9" t="str"/>
      <x:c r="BC1038" s="9" t="str"/>
      <x:c r="BD1038" s="9"/>
      <x:c r="BE1038" s="9"/>
      <x:c r="BF1038" s="11" t="str">
        <x:f>HYPERLINK("https://backloggd.com/search/games/SD%20Gundam%20Daizukan/","Backloggd")</x:f>
        <x:v>Backloggd</x:v>
      </x:c>
      <x:c r="BG1038" s="9"/>
      <x:c r="BH1038" s="9"/>
      <x:c r="BI1038" s="12" t="str">
        <x:v>No</x:v>
      </x:c>
      <x:c r="BJ1038" s="12" t="str"/>
      <x:c r="BK1038" s="12" t="str">
        <x:v>No</x:v>
      </x:c>
      <x:c r="BL1038" s="12" t="str"/>
      <x:c r="BM1038" s="12" t="str"/>
      <x:c r="BN1038" s="12" t="str"/>
      <x:c r="BO1038" s="12" t="str"/>
      <x:c r="BP1038" s="12" t="str"/>
      <x:c r="BQ1038" s="12" t="str"/>
    </x:row>
    <x:row r="1039">
      <x:c r="A1039" s="9" t="str">
        <x:v>playdia-5</x:v>
      </x:c>
      <x:c r="B1039" s="9" t="str">
        <x:v>ultraman-powered-kaiju-gekimetsu-sakusen</x:v>
      </x:c>
      <x:c r="C1039" s="9" t="str">
        <x:v>Bandai Playdia</x:v>
      </x:c>
      <x:c r="D1039" s="9" t="str">
        <x:v>Ultraman Powered: Kaijū Gekimetsu Sakusen</x:v>
      </x:c>
      <x:c r="E1039" s="9" t="str">
        <x:v>Ultraman Powered: Kaiju Destruction Tactics (BAPD-04)</x:v>
      </x:c>
      <x:c r="F1039" s="9" t="str">
        <x:v>Bandai (verify)</x:v>
      </x:c>
      <x:c r="G1039" s="9" t="str">
        <x:v>Bandai</x:v>
      </x:c>
      <x:c r="H1039" s="9" t="n">
        <x:v>1994</x:v>
      </x:c>
      <x:c r="I1039" s="9" t="str">
        <x:v>No</x:v>
      </x:c>
      <x:c r="J1039" s="9" t="str">
        <x:v>Yes</x:v>
      </x:c>
      <x:c r="K1039" s="9" t="str">
        <x:v>No</x:v>
      </x:c>
      <x:c r="L1039" s="9" t="str">
        <x:v>No</x:v>
      </x:c>
      <x:c r="M1039" s="9" t="str">
        <x:v>Interactive tokusatsu</x:v>
      </x:c>
      <x:c r="N1039" s="9" t="str">
        <x:v>Live-action</x:v>
      </x:c>
      <x:c r="O1039" s="9" t="n">
        <x:v>10</x:v>
      </x:c>
      <x:c r="P1039" s="9" t="str">
        <x:v>FMV adventure</x:v>
      </x:c>
      <x:c r="Q1039" s="9" t="str">
        <x:v>Released</x:v>
      </x:c>
      <x:c r="R1039" s="9" t="str">
        <x:v>Licensed Ultraman: The Ultimate Hero footage (Tsuburaya, 1993)</x:v>
      </x:c>
      <x:c r="S1039" s="9" t="str">
        <x:v>None</x:v>
      </x:c>
      <x:c r="T1039" s="9" t="str">
        <x:v>The cast of Ultraman: The Ultimate Hero (Kane Kosugi as Kenichi Kai)</x:v>
      </x:c>
      <x:c r="U1039" s="9" t="n">
        <x:v>1</x:v>
      </x:c>
      <x:c r="V1039" s="9" t="str">
        <x:v>No</x:v>
      </x:c>
      <x:c r="W1039" s="9" t="str">
        <x:v>Playdia (BA-001) with its infrared pad; the system has no save memory (verify)</x:v>
      </x:c>
      <x:c r="X1039" s="9" t="str">
        <x:v>Med–High</x:v>
      </x:c>
      <x:c r="Y1039" s="9" t="str">
        <x:v>Tsuburaya footage</x:v>
      </x:c>
      <x:c r="Z1039" s="9" t="str">
        <x:v>30–45 min</x:v>
      </x:c>
      <x:c r="AA1039" s="9" t="str">
        <x:v>The American-made Ultraman series cut into a choose-the-move monster fight on Bandai's video console.</x:v>
      </x:c>
      <x:c r="AB1039" s="9" t="str">
        <x:v>None known</x:v>
      </x:c>
      <x:c r="AC1039" s="9" t="str">
        <x:v>Full-screen video stops at a prompt and the pad picks A or B (or a direction); the clip then continues. The hardware draws almost nothing itself; live-action series footage with monster-fight choices</x:v>
      </x:c>
      <x:c r="AD1039" s="9" t="str">
        <x:v>Easy</x:v>
      </x:c>
      <x:c r="AE1039" s="9" t="str">
        <x:v>Several</x:v>
      </x:c>
      <x:c r="AF1039" s="9" t="str">
        <x:v>Not the same game as the 3DO Ultraman Powered fighting game (also Bandai, March 1994), which has its own record and gameId. The Polish Egzotyka blog series calls it the console's 'success' in scare quotes.</x:v>
      </x:c>
      <x:c r="AG1039" s="9" t="str">
        <x:v>Single release</x:v>
      </x:c>
      <x:c r="AH1039" s="9" t="str">
        <x:v>No</x:v>
      </x:c>
      <x:c r="AI1039" s="9" t="str">
        <x:v>Import</x:v>
      </x:c>
      <x:c r="AJ1039" s="9" t="str">
        <x:v>Original disc on an imported Playdia (NTSC-J, no region lock beyond the hardware); MAME's Playdia driver is preliminary (verify)</x:v>
      </x:c>
      <x:c r="AK1039" s="9" t="str">
        <x:v>A different production from 3DO Ultraman Powered, so it does not share that gameId.</x:v>
      </x:c>
      <x:c r="AL1039" s="10"/>
      <x:c r="AM1039" s="10"/>
      <x:c r="AN1039" s="10"/>
      <x:c r="AO1039" s="9"/>
      <x:c r="AP1039" s="11" t="str">
        <x:f>HYPERLINK("https://www.pricecharting.com/search-products?q=Ultraman+Powered%3A+Kaij%C5%AB+Gekimetsu+Sakusen+playdia&amp;type=prices","PriceCharting")</x:f>
        <x:v>PriceCharting</x:v>
      </x:c>
      <x:c r="AQ1039" s="9"/>
      <x:c r="AR1039" s="9"/>
      <x:c r="AS1039" s="9"/>
      <x:c r="AT1039" s="9"/>
      <x:c r="AU1039" s="9"/>
      <x:c r="AV1039" s="9"/>
      <x:c r="AW1039" s="9"/>
      <x:c r="AX1039" s="9"/>
      <x:c r="AY1039" s="9"/>
      <x:c r="AZ1039" s="9"/>
      <x:c r="BA1039" s="11" t="str">
        <x:f>HYPERLINK("https://www.mobygames.com/search/?q=Ultraman+Powered%3A+Kaij%C5%AB+Gekimetsu+Sakusen","MobyGames")</x:f>
        <x:v>MobyGames</x:v>
      </x:c>
      <x:c r="BB1039" s="9" t="str"/>
      <x:c r="BC1039" s="9" t="str"/>
      <x:c r="BD1039" s="9"/>
      <x:c r="BE1039" s="9"/>
      <x:c r="BF1039" s="11" t="str">
        <x:f>HYPERLINK("https://backloggd.com/search/games/Ultraman%20Powered%3A%20Kaij%C5%AB%20Gekimetsu%20Sakusen/","Backloggd")</x:f>
        <x:v>Backloggd</x:v>
      </x:c>
      <x:c r="BG1039" s="9"/>
      <x:c r="BH1039" s="9"/>
      <x:c r="BI1039" s="12" t="str">
        <x:v>No</x:v>
      </x:c>
      <x:c r="BJ1039" s="12" t="str"/>
      <x:c r="BK1039" s="12" t="str">
        <x:v>No</x:v>
      </x:c>
      <x:c r="BL1039" s="12" t="str"/>
      <x:c r="BM1039" s="12" t="str"/>
      <x:c r="BN1039" s="12" t="str"/>
      <x:c r="BO1039" s="12" t="str"/>
      <x:c r="BP1039" s="12" t="str"/>
      <x:c r="BQ1039" s="12" t="str"/>
    </x:row>
    <x:row r="1040">
      <x:c r="A1040" s="9" t="str">
        <x:v>playdia-6</x:v>
      </x:c>
      <x:c r="B1040" s="9" t="str">
        <x:v>hello-kitty-yume-no-kuni-daiboken</x:v>
      </x:c>
      <x:c r="C1040" s="9" t="str">
        <x:v>Bandai Playdia</x:v>
      </x:c>
      <x:c r="D1040" s="9" t="str">
        <x:v>Hello Kitty: Yume no Kuni Daibōken</x:v>
      </x:c>
      <x:c r="E1040" s="9" t="str">
        <x:v>Hello Kitty: Great Adventure in Dreamland (BAPD-05)</x:v>
      </x:c>
      <x:c r="F1040" s="9" t="str">
        <x:v>Bandai (verify)</x:v>
      </x:c>
      <x:c r="G1040" s="9" t="str">
        <x:v>Bandai</x:v>
      </x:c>
      <x:c r="H1040" s="9" t="n">
        <x:v>1994</x:v>
      </x:c>
      <x:c r="I1040" s="9" t="str">
        <x:v>No</x:v>
      </x:c>
      <x:c r="J1040" s="9" t="str">
        <x:v>Yes</x:v>
      </x:c>
      <x:c r="K1040" s="9" t="str">
        <x:v>No</x:v>
      </x:c>
      <x:c r="L1040" s="9" t="str">
        <x:v>No</x:v>
      </x:c>
      <x:c r="M1040" s="9" t="str">
        <x:v>Children's anime adventure</x:v>
      </x:c>
      <x:c r="N1040" s="9" t="str">
        <x:v>Animated</x:v>
      </x:c>
      <x:c r="O1040" s="9" t="n">
        <x:v>10</x:v>
      </x:c>
      <x:c r="P1040" s="9" t="str">
        <x:v>FMV adventure</x:v>
      </x:c>
      <x:c r="Q1040" s="9" t="str">
        <x:v>Released</x:v>
      </x:c>
      <x:c r="R1040" s="9" t="str">
        <x:v>Licensed anime or tokusatsu footage</x:v>
      </x:c>
      <x:c r="S1040" s="9" t="str">
        <x:v>None</x:v>
      </x:c>
      <x:c r="T1040" s="9" t="str">
        <x:v>Hello Kitty anime voices</x:v>
      </x:c>
      <x:c r="U1040" s="9" t="n">
        <x:v>1</x:v>
      </x:c>
      <x:c r="V1040" s="9" t="str">
        <x:v>No</x:v>
      </x:c>
      <x:c r="W1040" s="9" t="str">
        <x:v>Playdia (BA-001) with its infrared pad; the system has no save memory (verify)</x:v>
      </x:c>
      <x:c r="X1040" s="9" t="str">
        <x:v>Med</x:v>
      </x:c>
      <x:c r="Y1040" s="9" t="str">
        <x:v>Sanrio footage</x:v>
      </x:c>
      <x:c r="Z1040" s="9" t="str">
        <x:v>30 min</x:v>
      </x:c>
      <x:c r="AA1040" s="9" t="str">
        <x:v>Hello Kitty wanders a dream country and you pick where she goes.</x:v>
      </x:c>
      <x:c r="AB1040" s="9" t="str">
        <x:v>None known</x:v>
      </x:c>
      <x:c r="AC1040" s="9" t="str">
        <x:v>Full-screen video stops at a prompt and the pad picks A or B (or a direction); the clip then continues. The hardware draws almost nothing itself</x:v>
      </x:c>
      <x:c r="AD1040" s="9" t="str">
        <x:v>Easy; for small children</x:v>
      </x:c>
      <x:c r="AE1040" s="9" t="str">
        <x:v>Several (verify)</x:v>
      </x:c>
      <x:c r="AF1040" s="9" t="str">
        <x:v>One of two Sanrio discs; Kero Kero Keroppi's was a non-sale promotional disc.</x:v>
      </x:c>
      <x:c r="AG1040" s="9" t="str">
        <x:v>Single release</x:v>
      </x:c>
      <x:c r="AH1040" s="9" t="str">
        <x:v>No</x:v>
      </x:c>
      <x:c r="AI1040" s="9" t="str">
        <x:v>Import</x:v>
      </x:c>
      <x:c r="AJ1040" s="9" t="str">
        <x:v>Original disc on an imported Playdia (NTSC-J, no region lock beyond the hardware); MAME's Playdia driver is preliminary (verify)</x:v>
      </x:c>
      <x:c r="AK1040" s="9" t="str">
        <x:v>Facts inferred from the title and format.</x:v>
      </x:c>
      <x:c r="AL1040" s="10"/>
      <x:c r="AM1040" s="10"/>
      <x:c r="AN1040" s="10"/>
      <x:c r="AO1040" s="9"/>
      <x:c r="AP1040" s="11" t="str">
        <x:f>HYPERLINK("https://www.pricecharting.com/search-products?q=Hello+Kitty%3A+Yume+no+Kuni+Daib%C5%8Dken+playdia&amp;type=prices","PriceCharting")</x:f>
        <x:v>PriceCharting</x:v>
      </x:c>
      <x:c r="AQ1040" s="9"/>
      <x:c r="AR1040" s="9"/>
      <x:c r="AS1040" s="9"/>
      <x:c r="AT1040" s="9"/>
      <x:c r="AU1040" s="9"/>
      <x:c r="AV1040" s="9"/>
      <x:c r="AW1040" s="9"/>
      <x:c r="AX1040" s="9"/>
      <x:c r="AY1040" s="9"/>
      <x:c r="AZ1040" s="9"/>
      <x:c r="BA1040" s="11" t="str">
        <x:f>HYPERLINK("https://www.mobygames.com/search/?q=Hello+Kitty%3A+Yume+no+Kuni+Daib%C5%8Dken","MobyGames")</x:f>
        <x:v>MobyGames</x:v>
      </x:c>
      <x:c r="BB1040" s="9" t="str"/>
      <x:c r="BC1040" s="9" t="str"/>
      <x:c r="BD1040" s="9"/>
      <x:c r="BE1040" s="9"/>
      <x:c r="BF1040" s="11" t="str">
        <x:f>HYPERLINK("https://backloggd.com/search/games/Hello%20Kitty%3A%20Yume%20no%20Kuni%20Daib%C5%8Dken/","Backloggd")</x:f>
        <x:v>Backloggd</x:v>
      </x:c>
      <x:c r="BG1040" s="9"/>
      <x:c r="BH1040" s="9"/>
      <x:c r="BI1040" s="12" t="str">
        <x:v>No</x:v>
      </x:c>
      <x:c r="BJ1040" s="12" t="str"/>
      <x:c r="BK1040" s="12" t="str">
        <x:v>No</x:v>
      </x:c>
      <x:c r="BL1040" s="12" t="str"/>
      <x:c r="BM1040" s="12" t="str"/>
      <x:c r="BN1040" s="12" t="str"/>
      <x:c r="BO1040" s="12" t="str"/>
      <x:c r="BP1040" s="12" t="str"/>
      <x:c r="BQ1040" s="12" t="str"/>
    </x:row>
    <x:row r="1041">
      <x:c r="A1041" s="9" t="str">
        <x:v>playdia-7</x:v>
      </x:c>
      <x:c r="B1041" s="9" t="str">
        <x:v>aqua-adventure-blue-lilty</x:v>
      </x:c>
      <x:c r="C1041" s="9" t="str">
        <x:v>Bandai Playdia</x:v>
      </x:c>
      <x:c r="D1041" s="9" t="str">
        <x:v>Aqua Adventure: Blue Lilty</x:v>
      </x:c>
      <x:c r="E1041" s="9" t="str">
        <x:v>BAPD-06</x:v>
      </x:c>
      <x:c r="F1041" s="9" t="str">
        <x:v>Bandai (verify)</x:v>
      </x:c>
      <x:c r="G1041" s="9" t="str">
        <x:v>Bandai</x:v>
      </x:c>
      <x:c r="H1041" s="9" t="n">
        <x:v>1994</x:v>
      </x:c>
      <x:c r="I1041" s="9" t="str">
        <x:v>No</x:v>
      </x:c>
      <x:c r="J1041" s="9" t="str">
        <x:v>Yes</x:v>
      </x:c>
      <x:c r="K1041" s="9" t="str">
        <x:v>No</x:v>
      </x:c>
      <x:c r="L1041" s="9" t="str">
        <x:v>No</x:v>
      </x:c>
      <x:c r="M1041" s="9" t="str">
        <x:v>Anime adventure</x:v>
      </x:c>
      <x:c r="N1041" s="9" t="str">
        <x:v>Animated</x:v>
      </x:c>
      <x:c r="O1041" s="9" t="n">
        <x:v>10</x:v>
      </x:c>
      <x:c r="P1041" s="9" t="str">
        <x:v>FMV adventure</x:v>
      </x:c>
      <x:c r="Q1041" s="9" t="str">
        <x:v>Released</x:v>
      </x:c>
      <x:c r="R1041" s="9" t="str">
        <x:v>Original production</x:v>
      </x:c>
      <x:c r="S1041" s="9" t="str">
        <x:v>None</x:v>
      </x:c>
      <x:c r="T1041" s="9" t="str">
        <x:v>Original anime</x:v>
      </x:c>
      <x:c r="U1041" s="9" t="n">
        <x:v>1</x:v>
      </x:c>
      <x:c r="V1041" s="9" t="str">
        <x:v>No</x:v>
      </x:c>
      <x:c r="W1041" s="9" t="str">
        <x:v>Playdia (BA-001) with its infrared pad; the system has no save memory (verify)</x:v>
      </x:c>
      <x:c r="X1041" s="9" t="str">
        <x:v>Low</x:v>
      </x:c>
      <x:c r="Y1041" s="9" t="str"/>
      <x:c r="Z1041" s="9" t="str">
        <x:v>30 min</x:v>
      </x:c>
      <x:c r="AA1041" s="9" t="str">
        <x:v>The Playdia's one original anime story, an undersea adventure made for the console.</x:v>
      </x:c>
      <x:c r="AB1041" s="9" t="str">
        <x:v>None known</x:v>
      </x:c>
      <x:c r="AC1041" s="9" t="str">
        <x:v>Full-screen video stops at a prompt and the pad picks A or B (or a direction); the clip then continues. The hardware draws almost nothing itself</x:v>
      </x:c>
      <x:c r="AD1041" s="9" t="str">
        <x:v>Easy</x:v>
      </x:c>
      <x:c r="AE1041" s="9" t="str">
        <x:v>Several (verify)</x:v>
      </x:c>
      <x:c r="AF1041" s="9" t="str">
        <x:v>The only non-licensed story disc in the catalogue. Few details survive online.</x:v>
      </x:c>
      <x:c r="AG1041" s="9" t="str">
        <x:v>Single release</x:v>
      </x:c>
      <x:c r="AH1041" s="9" t="str">
        <x:v>No</x:v>
      </x:c>
      <x:c r="AI1041" s="9" t="str">
        <x:v>Import</x:v>
      </x:c>
      <x:c r="AJ1041" s="9" t="str">
        <x:v>Original disc on an imported Playdia (NTSC-J, no region lock beyond the hardware); MAME's Playdia driver is preliminary (verify)</x:v>
      </x:c>
      <x:c r="AK1041" s="9" t="str">
        <x:v>Facts inferred from the catalogue; verify the plot.</x:v>
      </x:c>
      <x:c r="AL1041" s="10"/>
      <x:c r="AM1041" s="10"/>
      <x:c r="AN1041" s="10"/>
      <x:c r="AO1041" s="9"/>
      <x:c r="AP1041" s="11" t="str">
        <x:f>HYPERLINK("https://www.pricecharting.com/search-products?q=Aqua+Adventure%3A+Blue+Lilty+playdia&amp;type=prices","PriceCharting")</x:f>
        <x:v>PriceCharting</x:v>
      </x:c>
      <x:c r="AQ1041" s="9"/>
      <x:c r="AR1041" s="9"/>
      <x:c r="AS1041" s="9"/>
      <x:c r="AT1041" s="9"/>
      <x:c r="AU1041" s="9"/>
      <x:c r="AV1041" s="9"/>
      <x:c r="AW1041" s="9"/>
      <x:c r="AX1041" s="9"/>
      <x:c r="AY1041" s="9"/>
      <x:c r="AZ1041" s="9"/>
      <x:c r="BA1041" s="11" t="str">
        <x:f>HYPERLINK("https://www.mobygames.com/search/?q=Aqua+Adventure%3A+Blue+Lilty","MobyGames")</x:f>
        <x:v>MobyGames</x:v>
      </x:c>
      <x:c r="BB1041" s="9" t="str"/>
      <x:c r="BC1041" s="9" t="str"/>
      <x:c r="BD1041" s="9"/>
      <x:c r="BE1041" s="9"/>
      <x:c r="BF1041" s="11" t="str">
        <x:f>HYPERLINK("https://backloggd.com/search/games/Aqua%20Adventure%3A%20Blue%20Lilty/","Backloggd")</x:f>
        <x:v>Backloggd</x:v>
      </x:c>
      <x:c r="BG1041" s="9"/>
      <x:c r="BH1041" s="9"/>
      <x:c r="BI1041" s="12" t="str">
        <x:v>No</x:v>
      </x:c>
      <x:c r="BJ1041" s="12" t="str"/>
      <x:c r="BK1041" s="12" t="str">
        <x:v>No</x:v>
      </x:c>
      <x:c r="BL1041" s="12" t="str"/>
      <x:c r="BM1041" s="12" t="str"/>
      <x:c r="BN1041" s="12" t="str"/>
      <x:c r="BO1041" s="12" t="str"/>
      <x:c r="BP1041" s="12" t="str"/>
      <x:c r="BQ1041" s="12" t="str"/>
    </x:row>
    <x:row r="1042">
      <x:c r="A1042" s="9" t="str">
        <x:v>playdia-8</x:v>
      </x:c>
      <x:c r="B1042" s="9" t="str">
        <x:v>newton-museum-kyoryu-nendaiki-zenpen</x:v>
      </x:c>
      <x:c r="C1042" s="9" t="str">
        <x:v>Bandai Playdia</x:v>
      </x:c>
      <x:c r="D1042" s="9" t="str">
        <x:v>Newton Museum: Kyōryū Nendaiki Zenpen</x:v>
      </x:c>
      <x:c r="E1042" s="9" t="str">
        <x:v>Newton Museum: Dinosaur Chronicle, Part 1 (BAPD-07)</x:v>
      </x:c>
      <x:c r="F1042" s="9" t="str">
        <x:v>Neomedia Wing</x:v>
      </x:c>
      <x:c r="G1042" s="9" t="str">
        <x:v>Bandai</x:v>
      </x:c>
      <x:c r="H1042" s="9" t="n">
        <x:v>1994</x:v>
      </x:c>
      <x:c r="I1042" s="9" t="str">
        <x:v>No</x:v>
      </x:c>
      <x:c r="J1042" s="9" t="str">
        <x:v>Yes</x:v>
      </x:c>
      <x:c r="K1042" s="9" t="str">
        <x:v>No</x:v>
      </x:c>
      <x:c r="L1042" s="9" t="str">
        <x:v>No</x:v>
      </x:c>
      <x:c r="M1042" s="9" t="str">
        <x:v>Dinosaur documentary disc</x:v>
      </x:c>
      <x:c r="N1042" s="9" t="str">
        <x:v>Animated</x:v>
      </x:c>
      <x:c r="O1042" s="9" t="n">
        <x:v>10</x:v>
      </x:c>
      <x:c r="P1042" s="9" t="str">
        <x:v>Non-game video</x:v>
      </x:c>
      <x:c r="Q1042" s="9" t="str">
        <x:v>Released</x:v>
      </x:c>
      <x:c r="R1042" s="9" t="str">
        <x:v>Newton magazine (Kyoikusha) material</x:v>
      </x:c>
      <x:c r="S1042" s="9" t="str">
        <x:v>None</x:v>
      </x:c>
      <x:c r="T1042" s="9" t="str">
        <x:v>Narration</x:v>
      </x:c>
      <x:c r="U1042" s="9" t="n">
        <x:v>1</x:v>
      </x:c>
      <x:c r="V1042" s="9" t="str">
        <x:v>No</x:v>
      </x:c>
      <x:c r="W1042" s="9" t="str">
        <x:v>Playdia (BA-001) with its infrared pad; the system has no save memory (verify)</x:v>
      </x:c>
      <x:c r="X1042" s="9" t="str">
        <x:v>Low</x:v>
      </x:c>
      <x:c r="Y1042" s="9" t="str"/>
      <x:c r="Z1042" s="9" t="str">
        <x:v>30–60 min</x:v>
      </x:c>
      <x:c r="AA1042" s="9" t="str">
        <x:v>The science magazine Newton's dinosaur chronicle as a browsable video disc.</x:v>
      </x:c>
      <x:c r="AB1042" s="9" t="str">
        <x:v>None known</x:v>
      </x:c>
      <x:c r="AC1042" s="9" t="str">
        <x:v>Narrated video and still sequences chosen from menus</x:v>
      </x:c>
      <x:c r="AD1042" s="9" t="str">
        <x:v>None</x:v>
      </x:c>
      <x:c r="AE1042" s="9" t="str">
        <x:v>None</x:v>
      </x:c>
      <x:c r="AF1042" s="9" t="str">
        <x:v>Neomedia Wing also made Multimedia Newton discs for Macintosh and Windows; Pippin versions planned for March 1996 were never released.</x:v>
      </x:c>
      <x:c r="AG1042" s="9" t="str">
        <x:v>Two parts, sold apart</x:v>
      </x:c>
      <x:c r="AH1042" s="9" t="str">
        <x:v>No</x:v>
      </x:c>
      <x:c r="AI1042" s="9" t="str">
        <x:v>Import</x:v>
      </x:c>
      <x:c r="AJ1042" s="9" t="str">
        <x:v>Original disc on an imported Playdia (NTSC-J, no region lock beyond the hardware); MAME's Playdia driver is preliminary (verify)</x:v>
      </x:c>
      <x:c r="AK1042" s="9" t="str">
        <x:v>Facts from the Playdia fandom wiki's Multimedia Newton page.</x:v>
      </x:c>
      <x:c r="AL1042" s="10"/>
      <x:c r="AM1042" s="10"/>
      <x:c r="AN1042" s="10"/>
      <x:c r="AO1042" s="9"/>
      <x:c r="AP1042" s="11" t="str">
        <x:f>HYPERLINK("https://www.pricecharting.com/search-products?q=Newton+Museum%3A+Ky%C5%8Dry%C5%AB+Nendaiki+Zenpen+playdia&amp;type=prices","PriceCharting")</x:f>
        <x:v>PriceCharting</x:v>
      </x:c>
      <x:c r="AQ1042" s="9"/>
      <x:c r="AR1042" s="9"/>
      <x:c r="AS1042" s="9"/>
      <x:c r="AT1042" s="9"/>
      <x:c r="AU1042" s="9"/>
      <x:c r="AV1042" s="9"/>
      <x:c r="AW1042" s="9"/>
      <x:c r="AX1042" s="9"/>
      <x:c r="AY1042" s="9"/>
      <x:c r="AZ1042" s="9"/>
      <x:c r="BA1042" s="11" t="str">
        <x:f>HYPERLINK("https://www.mobygames.com/search/?q=Newton+Museum%3A+Ky%C5%8Dry%C5%AB+Nendaiki+Zenpen","MobyGames")</x:f>
        <x:v>MobyGames</x:v>
      </x:c>
      <x:c r="BB1042" s="9" t="str"/>
      <x:c r="BC1042" s="9" t="str"/>
      <x:c r="BD1042" s="9"/>
      <x:c r="BE1042" s="9"/>
      <x:c r="BF1042" s="11" t="str">
        <x:f>HYPERLINK("https://backloggd.com/search/games/Newton%20Museum%3A%20Ky%C5%8Dry%C5%AB%20Nendaiki%20Zenpen/","Backloggd")</x:f>
        <x:v>Backloggd</x:v>
      </x:c>
      <x:c r="BG1042" s="9"/>
      <x:c r="BH1042" s="9"/>
      <x:c r="BI1042" s="12" t="str">
        <x:v>No</x:v>
      </x:c>
      <x:c r="BJ1042" s="12" t="str"/>
      <x:c r="BK1042" s="12" t="str">
        <x:v>No</x:v>
      </x:c>
      <x:c r="BL1042" s="12" t="str"/>
      <x:c r="BM1042" s="12" t="str"/>
      <x:c r="BN1042" s="12" t="str"/>
      <x:c r="BO1042" s="12" t="str"/>
      <x:c r="BP1042" s="12" t="str"/>
      <x:c r="BQ1042" s="12" t="str"/>
    </x:row>
    <x:row r="1043">
      <x:c r="A1043" s="9" t="str">
        <x:v>playdia-9</x:v>
      </x:c>
      <x:c r="B1043" s="9" t="str">
        <x:v>newton-museum-kyoryu-nendaiki-kohen</x:v>
      </x:c>
      <x:c r="C1043" s="9" t="str">
        <x:v>Bandai Playdia</x:v>
      </x:c>
      <x:c r="D1043" s="9" t="str">
        <x:v>Newton Museum: Kyōryū Nendaiki Kōhen</x:v>
      </x:c>
      <x:c r="E1043" s="9" t="str">
        <x:v>Newton Museum: Dinosaur Chronicle, Part 2 (BAPD-08)</x:v>
      </x:c>
      <x:c r="F1043" s="9" t="str">
        <x:v>Neomedia Wing</x:v>
      </x:c>
      <x:c r="G1043" s="9" t="str">
        <x:v>Bandai</x:v>
      </x:c>
      <x:c r="H1043" s="9" t="n">
        <x:v>1994</x:v>
      </x:c>
      <x:c r="I1043" s="9" t="str">
        <x:v>No</x:v>
      </x:c>
      <x:c r="J1043" s="9" t="str">
        <x:v>Yes</x:v>
      </x:c>
      <x:c r="K1043" s="9" t="str">
        <x:v>No</x:v>
      </x:c>
      <x:c r="L1043" s="9" t="str">
        <x:v>No</x:v>
      </x:c>
      <x:c r="M1043" s="9" t="str">
        <x:v>Dinosaur documentary disc</x:v>
      </x:c>
      <x:c r="N1043" s="9" t="str">
        <x:v>Animated</x:v>
      </x:c>
      <x:c r="O1043" s="9" t="n">
        <x:v>10</x:v>
      </x:c>
      <x:c r="P1043" s="9" t="str">
        <x:v>Non-game video</x:v>
      </x:c>
      <x:c r="Q1043" s="9" t="str">
        <x:v>Released</x:v>
      </x:c>
      <x:c r="R1043" s="9" t="str">
        <x:v>Newton magazine (Kyoikusha) material</x:v>
      </x:c>
      <x:c r="S1043" s="9" t="str">
        <x:v>None</x:v>
      </x:c>
      <x:c r="T1043" s="9" t="str">
        <x:v>Narration</x:v>
      </x:c>
      <x:c r="U1043" s="9" t="n">
        <x:v>1</x:v>
      </x:c>
      <x:c r="V1043" s="9" t="str">
        <x:v>No</x:v>
      </x:c>
      <x:c r="W1043" s="9" t="str">
        <x:v>Playdia (BA-001) with its infrared pad; the system has no save memory (verify)</x:v>
      </x:c>
      <x:c r="X1043" s="9" t="str">
        <x:v>Low</x:v>
      </x:c>
      <x:c r="Y1043" s="9" t="str"/>
      <x:c r="Z1043" s="9" t="str">
        <x:v>30–60 min</x:v>
      </x:c>
      <x:c r="AA1043" s="9" t="str">
        <x:v>The second half of Newton's dinosaur chronicle.</x:v>
      </x:c>
      <x:c r="AB1043" s="9" t="str">
        <x:v>None known</x:v>
      </x:c>
      <x:c r="AC1043" s="9" t="str">
        <x:v>Narrated video and still sequences chosen from menus</x:v>
      </x:c>
      <x:c r="AD1043" s="9" t="str">
        <x:v>None</x:v>
      </x:c>
      <x:c r="AE1043" s="9" t="str">
        <x:v>None</x:v>
      </x:c>
      <x:c r="AF1043" s="9" t="str">
        <x:v>Released with Part 1 on 25 November 1994.</x:v>
      </x:c>
      <x:c r="AG1043" s="9" t="str">
        <x:v>Two parts, sold apart</x:v>
      </x:c>
      <x:c r="AH1043" s="9" t="str">
        <x:v>No</x:v>
      </x:c>
      <x:c r="AI1043" s="9" t="str">
        <x:v>Import</x:v>
      </x:c>
      <x:c r="AJ1043" s="9" t="str">
        <x:v>Original disc on an imported Playdia (NTSC-J, no region lock beyond the hardware); MAME's Playdia driver is preliminary (verify)</x:v>
      </x:c>
      <x:c r="AK1043" s="9" t="str">
        <x:v>Facts from the Playdia fandom wiki's Multimedia Newton page.</x:v>
      </x:c>
      <x:c r="AL1043" s="10"/>
      <x:c r="AM1043" s="10"/>
      <x:c r="AN1043" s="10"/>
      <x:c r="AO1043" s="9"/>
      <x:c r="AP1043" s="11" t="str">
        <x:f>HYPERLINK("https://www.pricecharting.com/search-products?q=Newton+Museum%3A+Ky%C5%8Dry%C5%AB+Nendaiki+K%C5%8Dhen+playdia&amp;type=prices","PriceCharting")</x:f>
        <x:v>PriceCharting</x:v>
      </x:c>
      <x:c r="AQ1043" s="9"/>
      <x:c r="AR1043" s="9"/>
      <x:c r="AS1043" s="9"/>
      <x:c r="AT1043" s="9"/>
      <x:c r="AU1043" s="9"/>
      <x:c r="AV1043" s="9"/>
      <x:c r="AW1043" s="9"/>
      <x:c r="AX1043" s="9"/>
      <x:c r="AY1043" s="9"/>
      <x:c r="AZ1043" s="9"/>
      <x:c r="BA1043" s="11" t="str">
        <x:f>HYPERLINK("https://www.mobygames.com/search/?q=Newton+Museum%3A+Ky%C5%8Dry%C5%AB+Nendaiki+K%C5%8Dhen","MobyGames")</x:f>
        <x:v>MobyGames</x:v>
      </x:c>
      <x:c r="BB1043" s="9" t="str"/>
      <x:c r="BC1043" s="9" t="str"/>
      <x:c r="BD1043" s="9"/>
      <x:c r="BE1043" s="9"/>
      <x:c r="BF1043" s="11" t="str">
        <x:f>HYPERLINK("https://backloggd.com/search/games/Newton%20Museum%3A%20Ky%C5%8Dry%C5%AB%20Nendaiki%20K%C5%8Dhen/","Backloggd")</x:f>
        <x:v>Backloggd</x:v>
      </x:c>
      <x:c r="BG1043" s="9"/>
      <x:c r="BH1043" s="9"/>
      <x:c r="BI1043" s="12" t="str">
        <x:v>No</x:v>
      </x:c>
      <x:c r="BJ1043" s="12" t="str"/>
      <x:c r="BK1043" s="12" t="str">
        <x:v>No</x:v>
      </x:c>
      <x:c r="BL1043" s="12" t="str"/>
      <x:c r="BM1043" s="12" t="str"/>
      <x:c r="BN1043" s="12" t="str"/>
      <x:c r="BO1043" s="12" t="str"/>
      <x:c r="BP1043" s="12" t="str"/>
      <x:c r="BQ1043" s="12" t="str"/>
    </x:row>
    <x:row r="1044">
      <x:c r="A1044" s="9" t="str">
        <x:v>playdia-10</x:v>
      </x:c>
      <x:c r="B1044" s="9" t="str">
        <x:v>shuppatsu-dobutsu-tankentai</x:v>
      </x:c>
      <x:c r="C1044" s="9" t="str">
        <x:v>Bandai Playdia</x:v>
      </x:c>
      <x:c r="D1044" s="9" t="str">
        <x:v>Shuppatsu! Dōbutsu Tankentai</x:v>
      </x:c>
      <x:c r="E1044" s="9" t="str">
        <x:v>Set Off! Animal Expedition (BAPD-09)</x:v>
      </x:c>
      <x:c r="F1044" s="9" t="str">
        <x:v>Bandai (verify)</x:v>
      </x:c>
      <x:c r="G1044" s="9" t="str">
        <x:v>Bandai</x:v>
      </x:c>
      <x:c r="H1044" s="9" t="n">
        <x:v>1994</x:v>
      </x:c>
      <x:c r="I1044" s="9" t="str">
        <x:v>No</x:v>
      </x:c>
      <x:c r="J1044" s="9" t="str">
        <x:v>Yes</x:v>
      </x:c>
      <x:c r="K1044" s="9" t="str">
        <x:v>No</x:v>
      </x:c>
      <x:c r="L1044" s="9" t="str">
        <x:v>No</x:v>
      </x:c>
      <x:c r="M1044" s="9" t="str">
        <x:v>Children's nature disc</x:v>
      </x:c>
      <x:c r="N1044" s="9" t="str">
        <x:v>Animated</x:v>
      </x:c>
      <x:c r="O1044" s="9" t="n">
        <x:v>10</x:v>
      </x:c>
      <x:c r="P1044" s="9" t="str">
        <x:v>Non-game video</x:v>
      </x:c>
      <x:c r="Q1044" s="9" t="str">
        <x:v>Released</x:v>
      </x:c>
      <x:c r="R1044" s="9" t="str">
        <x:v>Nature footage (verify)</x:v>
      </x:c>
      <x:c r="S1044" s="9" t="str">
        <x:v>None</x:v>
      </x:c>
      <x:c r="T1044" s="9" t="str">
        <x:v>Narration</x:v>
      </x:c>
      <x:c r="U1044" s="9" t="n">
        <x:v>1</x:v>
      </x:c>
      <x:c r="V1044" s="9" t="str">
        <x:v>No</x:v>
      </x:c>
      <x:c r="W1044" s="9" t="str">
        <x:v>Playdia (BA-001) with its infrared pad; the system has no save memory (verify)</x:v>
      </x:c>
      <x:c r="X1044" s="9" t="str">
        <x:v>Low</x:v>
      </x:c>
      <x:c r="Y1044" s="9" t="str"/>
      <x:c r="Z1044" s="9" t="str">
        <x:v>30 min</x:v>
      </x:c>
      <x:c r="AA1044" s="9" t="str">
        <x:v>A children's animal expedition disc, filmed animals and a quiz.</x:v>
      </x:c>
      <x:c r="AB1044" s="9" t="str">
        <x:v>None known</x:v>
      </x:c>
      <x:c r="AC1044" s="9" t="str">
        <x:v>Nature footage with menu choices and questions</x:v>
      </x:c>
      <x:c r="AD1044" s="9" t="str">
        <x:v>None</x:v>
      </x:c>
      <x:c r="AE1044" s="9" t="str">
        <x:v>None</x:v>
      </x:c>
      <x:c r="AF1044" s="9" t="str">
        <x:v>Released 8 December 1994.</x:v>
      </x:c>
      <x:c r="AG1044" s="9" t="str">
        <x:v>Single release</x:v>
      </x:c>
      <x:c r="AH1044" s="9" t="str">
        <x:v>No</x:v>
      </x:c>
      <x:c r="AI1044" s="9" t="str">
        <x:v>Import</x:v>
      </x:c>
      <x:c r="AJ1044" s="9" t="str">
        <x:v>Original disc on an imported Playdia (NTSC-J, no region lock beyond the hardware); MAME's Playdia driver is preliminary (verify)</x:v>
      </x:c>
      <x:c r="AK1044" s="9" t="str">
        <x:v>Facts inferred from the title.</x:v>
      </x:c>
      <x:c r="AL1044" s="10"/>
      <x:c r="AM1044" s="10"/>
      <x:c r="AN1044" s="10"/>
      <x:c r="AO1044" s="9"/>
      <x:c r="AP1044" s="11" t="str">
        <x:f>HYPERLINK("https://www.pricecharting.com/search-products?q=Shuppatsu%21+D%C5%8Dbutsu+Tankentai+playdia&amp;type=prices","PriceCharting")</x:f>
        <x:v>PriceCharting</x:v>
      </x:c>
      <x:c r="AQ1044" s="9"/>
      <x:c r="AR1044" s="9"/>
      <x:c r="AS1044" s="9"/>
      <x:c r="AT1044" s="9"/>
      <x:c r="AU1044" s="9"/>
      <x:c r="AV1044" s="9"/>
      <x:c r="AW1044" s="9"/>
      <x:c r="AX1044" s="9"/>
      <x:c r="AY1044" s="9"/>
      <x:c r="AZ1044" s="9"/>
      <x:c r="BA1044" s="11" t="str">
        <x:f>HYPERLINK("https://www.mobygames.com/search/?q=Shuppatsu%21+D%C5%8Dbutsu+Tankentai","MobyGames")</x:f>
        <x:v>MobyGames</x:v>
      </x:c>
      <x:c r="BB1044" s="9" t="str"/>
      <x:c r="BC1044" s="9" t="str"/>
      <x:c r="BD1044" s="9"/>
      <x:c r="BE1044" s="9"/>
      <x:c r="BF1044" s="11" t="str">
        <x:f>HYPERLINK("https://backloggd.com/search/games/Shuppatsu%21%20D%C5%8Dbutsu%20Tankentai/","Backloggd")</x:f>
        <x:v>Backloggd</x:v>
      </x:c>
      <x:c r="BG1044" s="9"/>
      <x:c r="BH1044" s="9"/>
      <x:c r="BI1044" s="12" t="str">
        <x:v>No</x:v>
      </x:c>
      <x:c r="BJ1044" s="12" t="str"/>
      <x:c r="BK1044" s="12" t="str">
        <x:v>No</x:v>
      </x:c>
      <x:c r="BL1044" s="12" t="str"/>
      <x:c r="BM1044" s="12" t="str"/>
      <x:c r="BN1044" s="12" t="str"/>
      <x:c r="BO1044" s="12" t="str"/>
      <x:c r="BP1044" s="12" t="str"/>
      <x:c r="BQ1044" s="12" t="str"/>
    </x:row>
    <x:row r="1045">
      <x:c r="A1045" s="9" t="str">
        <x:v>playdia-11</x:v>
      </x:c>
      <x:c r="B1045" s="9" t="str">
        <x:v>ultra-seven-chikyu-boei-sakusen</x:v>
      </x:c>
      <x:c r="C1045" s="9" t="str">
        <x:v>Bandai Playdia</x:v>
      </x:c>
      <x:c r="D1045" s="9" t="str">
        <x:v>Ultra Seven: Chikyū Bōei Sakusen</x:v>
      </x:c>
      <x:c r="E1045" s="9" t="str">
        <x:v>Ultraseven: Earth Defence Operation (BAPD-10)</x:v>
      </x:c>
      <x:c r="F1045" s="9" t="str">
        <x:v>Bandai (verify)</x:v>
      </x:c>
      <x:c r="G1045" s="9" t="str">
        <x:v>Bandai</x:v>
      </x:c>
      <x:c r="H1045" s="9" t="n">
        <x:v>1994</x:v>
      </x:c>
      <x:c r="I1045" s="9" t="str">
        <x:v>No</x:v>
      </x:c>
      <x:c r="J1045" s="9" t="str">
        <x:v>Yes</x:v>
      </x:c>
      <x:c r="K1045" s="9" t="str">
        <x:v>No</x:v>
      </x:c>
      <x:c r="L1045" s="9" t="str">
        <x:v>No</x:v>
      </x:c>
      <x:c r="M1045" s="9" t="str">
        <x:v>Interactive tokusatsu with shooting</x:v>
      </x:c>
      <x:c r="N1045" s="9" t="str">
        <x:v>Live-action</x:v>
      </x:c>
      <x:c r="O1045" s="9" t="n">
        <x:v>9</x:v>
      </x:c>
      <x:c r="P1045" s="9" t="str">
        <x:v>FMV adventure</x:v>
      </x:c>
      <x:c r="Q1045" s="9" t="str">
        <x:v>Released</x:v>
      </x:c>
      <x:c r="R1045" s="9" t="str">
        <x:v>Licensed Ultraseven footage (Tsuburaya, 1967–68)</x:v>
      </x:c>
      <x:c r="S1045" s="9" t="str">
        <x:v>None</x:v>
      </x:c>
      <x:c r="T1045" s="9" t="str">
        <x:v>The 1967 Ultraseven cast (Kohji Moritsugu as Dan Moroboshi)</x:v>
      </x:c>
      <x:c r="U1045" s="9" t="n">
        <x:v>1</x:v>
      </x:c>
      <x:c r="V1045" s="9" t="str">
        <x:v>No</x:v>
      </x:c>
      <x:c r="W1045" s="9" t="str">
        <x:v>Playdia (BA-001) with its infrared pad; the system has no save memory (verify)</x:v>
      </x:c>
      <x:c r="X1045" s="9" t="str">
        <x:v>Med–High</x:v>
      </x:c>
      <x:c r="Y1045" s="9" t="str">
        <x:v>Tsuburaya footage</x:v>
      </x:c>
      <x:c r="Z1045" s="9" t="str">
        <x:v>About 90 min first time, an hour once the route is known</x:v>
      </x:c>
      <x:c r="AA1045" s="9" t="str">
        <x:v>The most varied game on the Playdia: seven missions of 1967 Ultraseven footage with a first-person maze, an exam, light-gun-style shooting and wheel-picked monster fights.</x:v>
      </x:c>
      <x:c r="AB1045" s="9" t="str">
        <x:v>None known</x:v>
      </x:c>
      <x:c r="AC1045" s="9" t="str">
        <x:v>Live-action series footage with animation where film could not do the job; a crude first-person corridor where each turn plays a clip</x:v>
      </x:c>
      <x:c r="AD1045" s="9" t="str">
        <x:v>Moderate; input lag makes the reaction prompts hard at first</x:v>
      </x:c>
      <x:c r="AE1045" s="9" t="str">
        <x:v>One; passwords after each of the first six missions</x:v>
      </x:c>
      <x:c r="AF1045" s="9" t="str">
        <x:v>PPE.pl's Egzotyka blog (2018) scored it 5.3/10 and called it one of the few Playdia games worth playing.</x:v>
      </x:c>
      <x:c r="AG1045" s="9" t="str">
        <x:v>Single release</x:v>
      </x:c>
      <x:c r="AH1045" s="9" t="str">
        <x:v>No</x:v>
      </x:c>
      <x:c r="AI1045" s="9" t="str">
        <x:v>Import</x:v>
      </x:c>
      <x:c r="AJ1045" s="9" t="str">
        <x:v>Original disc on an imported Playdia (NTSC-J, no region lock beyond the hardware); MAME's Playdia driver is preliminary (verify)</x:v>
      </x:c>
      <x:c r="AK1045" s="9" t="str">
        <x:v>Facts from the PPE.pl Egzotyka #5 blog post (August 2018).</x:v>
      </x:c>
      <x:c r="AL1045" s="10"/>
      <x:c r="AM1045" s="10"/>
      <x:c r="AN1045" s="10"/>
      <x:c r="AO1045" s="9"/>
      <x:c r="AP1045" s="11" t="str">
        <x:f>HYPERLINK("https://www.pricecharting.com/search-products?q=Ultra+Seven%3A+Chiky%C5%AB+B%C5%8Dei+Sakusen+playdia&amp;type=prices","PriceCharting")</x:f>
        <x:v>PriceCharting</x:v>
      </x:c>
      <x:c r="AQ1045" s="9"/>
      <x:c r="AR1045" s="9"/>
      <x:c r="AS1045" s="9"/>
      <x:c r="AT1045" s="9"/>
      <x:c r="AU1045" s="9"/>
      <x:c r="AV1045" s="9"/>
      <x:c r="AW1045" s="9"/>
      <x:c r="AX1045" s="9"/>
      <x:c r="AY1045" s="9"/>
      <x:c r="AZ1045" s="9"/>
      <x:c r="BA1045" s="11" t="str">
        <x:f>HYPERLINK("https://www.mobygames.com/search/?q=Ultra+Seven%3A+Chiky%C5%AB+B%C5%8Dei+Sakusen","MobyGames")</x:f>
        <x:v>MobyGames</x:v>
      </x:c>
      <x:c r="BB1045" s="9" t="str"/>
      <x:c r="BC1045" s="9" t="str"/>
      <x:c r="BD1045" s="9"/>
      <x:c r="BE1045" s="9"/>
      <x:c r="BF1045" s="11" t="str">
        <x:f>HYPERLINK("https://backloggd.com/search/games/Ultra%20Seven%3A%20Chiky%C5%AB%20B%C5%8Dei%20Sakusen/","Backloggd")</x:f>
        <x:v>Backloggd</x:v>
      </x:c>
      <x:c r="BG1045" s="9"/>
      <x:c r="BH1045" s="9"/>
      <x:c r="BI1045" s="12" t="str">
        <x:v>No</x:v>
      </x:c>
      <x:c r="BJ1045" s="12" t="str"/>
      <x:c r="BK1045" s="12" t="str">
        <x:v>No</x:v>
      </x:c>
      <x:c r="BL1045" s="12" t="str"/>
      <x:c r="BM1045" s="12" t="str"/>
      <x:c r="BN1045" s="12" t="str"/>
      <x:c r="BO1045" s="12" t="str"/>
      <x:c r="BP1045" s="12" t="str"/>
      <x:c r="BQ1045" s="12" t="str"/>
    </x:row>
    <x:row r="1046">
      <x:c r="A1046" s="9" t="str">
        <x:v>playdia-12</x:v>
      </x:c>
      <x:c r="B1046" s="9" t="str">
        <x:v>norimono-banzai-kuruma-daishugo</x:v>
      </x:c>
      <x:c r="C1046" s="9" t="str">
        <x:v>Bandai Playdia</x:v>
      </x:c>
      <x:c r="D1046" s="9" t="str">
        <x:v>Norimono Banzai!! Kuruma Daishūgō!!</x:v>
      </x:c>
      <x:c r="E1046" s="9" t="str">
        <x:v>Hooray for Vehicles!! Car Collection!! (BAPD-12)</x:v>
      </x:c>
      <x:c r="F1046" s="9" t="str">
        <x:v>Bandai (verify)</x:v>
      </x:c>
      <x:c r="G1046" s="9" t="str">
        <x:v>Bandai</x:v>
      </x:c>
      <x:c r="H1046" s="9" t="n">
        <x:v>1995</x:v>
      </x:c>
      <x:c r="I1046" s="9" t="str">
        <x:v>No</x:v>
      </x:c>
      <x:c r="J1046" s="9" t="str">
        <x:v>Yes</x:v>
      </x:c>
      <x:c r="K1046" s="9" t="str">
        <x:v>No</x:v>
      </x:c>
      <x:c r="L1046" s="9" t="str">
        <x:v>No</x:v>
      </x:c>
      <x:c r="M1046" s="9" t="str">
        <x:v>Children's vehicle disc</x:v>
      </x:c>
      <x:c r="N1046" s="9" t="str">
        <x:v>Live-action</x:v>
      </x:c>
      <x:c r="O1046" s="9" t="n">
        <x:v>10</x:v>
      </x:c>
      <x:c r="P1046" s="9" t="str">
        <x:v>Non-game video</x:v>
      </x:c>
      <x:c r="Q1046" s="9" t="str">
        <x:v>Released</x:v>
      </x:c>
      <x:c r="R1046" s="9" t="str">
        <x:v>Filmed vehicles</x:v>
      </x:c>
      <x:c r="S1046" s="9" t="str">
        <x:v>None</x:v>
      </x:c>
      <x:c r="T1046" s="9" t="str">
        <x:v>Narration</x:v>
      </x:c>
      <x:c r="U1046" s="9" t="n">
        <x:v>1</x:v>
      </x:c>
      <x:c r="V1046" s="9" t="str">
        <x:v>No</x:v>
      </x:c>
      <x:c r="W1046" s="9" t="str">
        <x:v>Playdia (BA-001) with its infrared pad; the system has no save memory (verify)</x:v>
      </x:c>
      <x:c r="X1046" s="9" t="str">
        <x:v>Low</x:v>
      </x:c>
      <x:c r="Y1046" s="9" t="str"/>
      <x:c r="Z1046" s="9" t="str">
        <x:v>30 min</x:v>
      </x:c>
      <x:c r="AA1046" s="9" t="str">
        <x:v>Cars for toddlers, on video, with the pad picking the next one.</x:v>
      </x:c>
      <x:c r="AB1046" s="9" t="str">
        <x:v>None known</x:v>
      </x:c>
      <x:c r="AC1046" s="9" t="str">
        <x:v>Filmed vehicle footage chosen from menus</x:v>
      </x:c>
      <x:c r="AD1046" s="9" t="str">
        <x:v>None</x:v>
      </x:c>
      <x:c r="AE1046" s="9" t="str">
        <x:v>None</x:v>
      </x:c>
      <x:c r="AF1046" s="9" t="str">
        <x:v>Released 24 January 1995 with its train twin.</x:v>
      </x:c>
      <x:c r="AG1046" s="9" t="str">
        <x:v>Two discs: cars and trains</x:v>
      </x:c>
      <x:c r="AH1046" s="9" t="str">
        <x:v>No</x:v>
      </x:c>
      <x:c r="AI1046" s="9" t="str">
        <x:v>Import</x:v>
      </x:c>
      <x:c r="AJ1046" s="9" t="str">
        <x:v>Original disc on an imported Playdia (NTSC-J, no region lock beyond the hardware); MAME's Playdia driver is preliminary (verify)</x:v>
      </x:c>
      <x:c r="AK1046" s="9" t="str">
        <x:v>Facts inferred from the title.</x:v>
      </x:c>
      <x:c r="AL1046" s="10"/>
      <x:c r="AM1046" s="10"/>
      <x:c r="AN1046" s="10"/>
      <x:c r="AO1046" s="9"/>
      <x:c r="AP1046" s="11" t="str">
        <x:f>HYPERLINK("https://www.pricecharting.com/search-products?q=Norimono+Banzai%21%21+Kuruma+Daish%C5%ABg%C5%8D%21%21+playdia&amp;type=prices","PriceCharting")</x:f>
        <x:v>PriceCharting</x:v>
      </x:c>
      <x:c r="AQ1046" s="9"/>
      <x:c r="AR1046" s="9"/>
      <x:c r="AS1046" s="9"/>
      <x:c r="AT1046" s="9"/>
      <x:c r="AU1046" s="9"/>
      <x:c r="AV1046" s="9"/>
      <x:c r="AW1046" s="9"/>
      <x:c r="AX1046" s="9"/>
      <x:c r="AY1046" s="9"/>
      <x:c r="AZ1046" s="9"/>
      <x:c r="BA1046" s="11" t="str">
        <x:f>HYPERLINK("https://www.mobygames.com/search/?q=Norimono+Banzai%21%21+Kuruma+Daish%C5%ABg%C5%8D%21%21","MobyGames")</x:f>
        <x:v>MobyGames</x:v>
      </x:c>
      <x:c r="BB1046" s="9" t="str"/>
      <x:c r="BC1046" s="9" t="str"/>
      <x:c r="BD1046" s="9"/>
      <x:c r="BE1046" s="9"/>
      <x:c r="BF1046" s="11" t="str">
        <x:f>HYPERLINK("https://backloggd.com/search/games/Norimono%20Banzai%21%21%20Kuruma%20Daish%C5%ABg%C5%8D%21%21/","Backloggd")</x:f>
        <x:v>Backloggd</x:v>
      </x:c>
      <x:c r="BG1046" s="9"/>
      <x:c r="BH1046" s="9"/>
      <x:c r="BI1046" s="12" t="str">
        <x:v>No</x:v>
      </x:c>
      <x:c r="BJ1046" s="12" t="str"/>
      <x:c r="BK1046" s="12" t="str">
        <x:v>No</x:v>
      </x:c>
      <x:c r="BL1046" s="12" t="str"/>
      <x:c r="BM1046" s="12" t="str"/>
      <x:c r="BN1046" s="12" t="str"/>
      <x:c r="BO1046" s="12" t="str"/>
      <x:c r="BP1046" s="12" t="str"/>
      <x:c r="BQ1046" s="12" t="str"/>
    </x:row>
    <x:row r="1047">
      <x:c r="A1047" s="9" t="str">
        <x:v>playdia-13</x:v>
      </x:c>
      <x:c r="B1047" s="9" t="str">
        <x:v>norimono-banzai-densha-daishugo</x:v>
      </x:c>
      <x:c r="C1047" s="9" t="str">
        <x:v>Bandai Playdia</x:v>
      </x:c>
      <x:c r="D1047" s="9" t="str">
        <x:v>Norimono Banzai!! Densha Daishūgō!!</x:v>
      </x:c>
      <x:c r="E1047" s="9" t="str">
        <x:v>Hooray for Vehicles!! Train Collection!! (BAPD-13)</x:v>
      </x:c>
      <x:c r="F1047" s="9" t="str">
        <x:v>Bandai (verify)</x:v>
      </x:c>
      <x:c r="G1047" s="9" t="str">
        <x:v>Bandai</x:v>
      </x:c>
      <x:c r="H1047" s="9" t="n">
        <x:v>1995</x:v>
      </x:c>
      <x:c r="I1047" s="9" t="str">
        <x:v>No</x:v>
      </x:c>
      <x:c r="J1047" s="9" t="str">
        <x:v>Yes</x:v>
      </x:c>
      <x:c r="K1047" s="9" t="str">
        <x:v>No</x:v>
      </x:c>
      <x:c r="L1047" s="9" t="str">
        <x:v>No</x:v>
      </x:c>
      <x:c r="M1047" s="9" t="str">
        <x:v>Children's vehicle disc</x:v>
      </x:c>
      <x:c r="N1047" s="9" t="str">
        <x:v>Live-action</x:v>
      </x:c>
      <x:c r="O1047" s="9" t="n">
        <x:v>10</x:v>
      </x:c>
      <x:c r="P1047" s="9" t="str">
        <x:v>Non-game video</x:v>
      </x:c>
      <x:c r="Q1047" s="9" t="str">
        <x:v>Released</x:v>
      </x:c>
      <x:c r="R1047" s="9" t="str">
        <x:v>Filmed trains</x:v>
      </x:c>
      <x:c r="S1047" s="9" t="str">
        <x:v>None</x:v>
      </x:c>
      <x:c r="T1047" s="9" t="str">
        <x:v>Narration</x:v>
      </x:c>
      <x:c r="U1047" s="9" t="n">
        <x:v>1</x:v>
      </x:c>
      <x:c r="V1047" s="9" t="str">
        <x:v>No</x:v>
      </x:c>
      <x:c r="W1047" s="9" t="str">
        <x:v>Playdia (BA-001) with its infrared pad; the system has no save memory (verify)</x:v>
      </x:c>
      <x:c r="X1047" s="9" t="str">
        <x:v>Low</x:v>
      </x:c>
      <x:c r="Y1047" s="9" t="str"/>
      <x:c r="Z1047" s="9" t="str">
        <x:v>30 min</x:v>
      </x:c>
      <x:c r="AA1047" s="9" t="str">
        <x:v>Trains for toddlers, on video.</x:v>
      </x:c>
      <x:c r="AB1047" s="9" t="str">
        <x:v>None known</x:v>
      </x:c>
      <x:c r="AC1047" s="9" t="str">
        <x:v>Filmed train footage chosen from menus</x:v>
      </x:c>
      <x:c r="AD1047" s="9" t="str">
        <x:v>None</x:v>
      </x:c>
      <x:c r="AE1047" s="9" t="str">
        <x:v>None</x:v>
      </x:c>
      <x:c r="AF1047" s="9" t="str">
        <x:v>Released 24 January 1995.</x:v>
      </x:c>
      <x:c r="AG1047" s="9" t="str">
        <x:v>Two discs: cars and trains</x:v>
      </x:c>
      <x:c r="AH1047" s="9" t="str">
        <x:v>No</x:v>
      </x:c>
      <x:c r="AI1047" s="9" t="str">
        <x:v>Import</x:v>
      </x:c>
      <x:c r="AJ1047" s="9" t="str">
        <x:v>Original disc on an imported Playdia (NTSC-J, no region lock beyond the hardware); MAME's Playdia driver is preliminary (verify)</x:v>
      </x:c>
      <x:c r="AK1047" s="9" t="str">
        <x:v>Facts inferred from the title.</x:v>
      </x:c>
      <x:c r="AL1047" s="10"/>
      <x:c r="AM1047" s="10"/>
      <x:c r="AN1047" s="10"/>
      <x:c r="AO1047" s="9"/>
      <x:c r="AP1047" s="11" t="str">
        <x:f>HYPERLINK("https://www.pricecharting.com/search-products?q=Norimono+Banzai%21%21+Densha+Daish%C5%ABg%C5%8D%21%21+playdia&amp;type=prices","PriceCharting")</x:f>
        <x:v>PriceCharting</x:v>
      </x:c>
      <x:c r="AQ1047" s="9"/>
      <x:c r="AR1047" s="9"/>
      <x:c r="AS1047" s="9"/>
      <x:c r="AT1047" s="9"/>
      <x:c r="AU1047" s="9"/>
      <x:c r="AV1047" s="9"/>
      <x:c r="AW1047" s="9"/>
      <x:c r="AX1047" s="9"/>
      <x:c r="AY1047" s="9"/>
      <x:c r="AZ1047" s="9"/>
      <x:c r="BA1047" s="11" t="str">
        <x:f>HYPERLINK("https://www.mobygames.com/search/?q=Norimono+Banzai%21%21+Densha+Daish%C5%ABg%C5%8D%21%21","MobyGames")</x:f>
        <x:v>MobyGames</x:v>
      </x:c>
      <x:c r="BB1047" s="9" t="str"/>
      <x:c r="BC1047" s="9" t="str"/>
      <x:c r="BD1047" s="9"/>
      <x:c r="BE1047" s="9"/>
      <x:c r="BF1047" s="11" t="str">
        <x:f>HYPERLINK("https://backloggd.com/search/games/Norimono%20Banzai%21%21%20Densha%20Daish%C5%ABg%C5%8D%21%21/","Backloggd")</x:f>
        <x:v>Backloggd</x:v>
      </x:c>
      <x:c r="BG1047" s="9"/>
      <x:c r="BH1047" s="9"/>
      <x:c r="BI1047" s="12" t="str">
        <x:v>No</x:v>
      </x:c>
      <x:c r="BJ1047" s="12" t="str"/>
      <x:c r="BK1047" s="12" t="str">
        <x:v>No</x:v>
      </x:c>
      <x:c r="BL1047" s="12" t="str"/>
      <x:c r="BM1047" s="12" t="str"/>
      <x:c r="BN1047" s="12" t="str"/>
      <x:c r="BO1047" s="12" t="str"/>
      <x:c r="BP1047" s="12" t="str"/>
      <x:c r="BQ1047" s="12" t="str"/>
    </x:row>
    <x:row r="1048">
      <x:c r="A1048" s="9" t="str">
        <x:v>playdia-14</x:v>
      </x:c>
      <x:c r="B1048" s="9" t="str">
        <x:v>ie-naki-ko-suzu-no-sentaku</x:v>
      </x:c>
      <x:c r="C1048" s="9" t="str">
        <x:v>Bandai Playdia</x:v>
      </x:c>
      <x:c r="D1048" s="9" t="str">
        <x:v>Ie Naki Ko: Suzu no Sentaku</x:v>
      </x:c>
      <x:c r="E1048" s="9" t="str">
        <x:v>Nobody's Girl Remi: Suzu's Choice (VPRJ-09722)</x:v>
      </x:c>
      <x:c r="F1048" s="9" t="str">
        <x:v>VAP (verify)</x:v>
      </x:c>
      <x:c r="G1048" s="9" t="str">
        <x:v>VAP</x:v>
      </x:c>
      <x:c r="H1048" s="9" t="n">
        <x:v>1995</x:v>
      </x:c>
      <x:c r="I1048" s="9" t="str">
        <x:v>No</x:v>
      </x:c>
      <x:c r="J1048" s="9" t="str">
        <x:v>Yes</x:v>
      </x:c>
      <x:c r="K1048" s="9" t="str">
        <x:v>No</x:v>
      </x:c>
      <x:c r="L1048" s="9" t="str">
        <x:v>No</x:v>
      </x:c>
      <x:c r="M1048" s="9" t="str">
        <x:v>Branching drama adventure</x:v>
      </x:c>
      <x:c r="N1048" s="9" t="str">
        <x:v>Live-action</x:v>
      </x:c>
      <x:c r="O1048" s="9" t="n">
        <x:v>10</x:v>
      </x:c>
      <x:c r="P1048" s="9" t="str">
        <x:v>FMV adventure</x:v>
      </x:c>
      <x:c r="Q1048" s="9" t="str">
        <x:v>Released</x:v>
      </x:c>
      <x:c r="R1048" s="9" t="str">
        <x:v>Licensed Ie Naki Ko TV drama footage (NTV, 1994)</x:v>
      </x:c>
      <x:c r="S1048" s="9" t="str">
        <x:v>None</x:v>
      </x:c>
      <x:c r="T1048" s="9" t="str">
        <x:v>Yumi Adachi as Suzu and the drama's cast</x:v>
      </x:c>
      <x:c r="U1048" s="9" t="n">
        <x:v>1</x:v>
      </x:c>
      <x:c r="V1048" s="9" t="str">
        <x:v>No</x:v>
      </x:c>
      <x:c r="W1048" s="9" t="str">
        <x:v>Playdia (BA-001) with its infrared pad; the system has no save memory (verify)</x:v>
      </x:c>
      <x:c r="X1048" s="9" t="str">
        <x:v>Med–High</x:v>
      </x:c>
      <x:c r="Y1048" s="9" t="str">
        <x:v>NTV drama footage</x:v>
      </x:c>
      <x:c r="Z1048" s="9" t="str">
        <x:v>30–45 min</x:v>
      </x:c>
      <x:c r="AA1048" s="9" t="str">
        <x:v>The only third-party Playdia disc: the hit Yumi Adachi TV melodrama cut into a branching story where Suzu's choices are yours.</x:v>
      </x:c>
      <x:c r="AB1048" s="9" t="str">
        <x:v>None known</x:v>
      </x:c>
      <x:c r="AC1048" s="9" t="str">
        <x:v>Full-screen video stops at a prompt and the pad picks A or B (or a direction); the clip then continues. The hardware draws almost nothing itself; live-action drama footage</x:v>
      </x:c>
      <x:c r="AD1048" s="9" t="str">
        <x:v>Easy</x:v>
      </x:c>
      <x:c r="AE1048" s="9" t="str">
        <x:v>Several (verify)</x:v>
      </x:c>
      <x:c r="AF1048" s="9" t="str">
        <x:v>The only disc not published by Bandai. Released 22 March 1995, the same day as Gamera.</x:v>
      </x:c>
      <x:c r="AG1048" s="9" t="str">
        <x:v>Single release</x:v>
      </x:c>
      <x:c r="AH1048" s="9" t="str">
        <x:v>No</x:v>
      </x:c>
      <x:c r="AI1048" s="9" t="str">
        <x:v>Import</x:v>
      </x:c>
      <x:c r="AJ1048" s="9" t="str">
        <x:v>Original disc on an imported Playdia (NTSC-J, no region lock beyond the hardware); MAME's Playdia driver is preliminary (verify)</x:v>
      </x:c>
      <x:c r="AK1048" s="9" t="str">
        <x:v>Facts from the catalogue; the drama's details from memory (verify).</x:v>
      </x:c>
      <x:c r="AL1048" s="10"/>
      <x:c r="AM1048" s="10"/>
      <x:c r="AN1048" s="10"/>
      <x:c r="AO1048" s="9"/>
      <x:c r="AP1048" s="11" t="str">
        <x:f>HYPERLINK("https://www.pricecharting.com/search-products?q=Ie+Naki+Ko%3A+Suzu+no+Sentaku+playdia&amp;type=prices","PriceCharting")</x:f>
        <x:v>PriceCharting</x:v>
      </x:c>
      <x:c r="AQ1048" s="9"/>
      <x:c r="AR1048" s="9"/>
      <x:c r="AS1048" s="9"/>
      <x:c r="AT1048" s="9"/>
      <x:c r="AU1048" s="9"/>
      <x:c r="AV1048" s="9"/>
      <x:c r="AW1048" s="9"/>
      <x:c r="AX1048" s="9"/>
      <x:c r="AY1048" s="9"/>
      <x:c r="AZ1048" s="9"/>
      <x:c r="BA1048" s="11" t="str">
        <x:f>HYPERLINK("https://www.mobygames.com/search/?q=Ie+Naki+Ko%3A+Suzu+no+Sentaku","MobyGames")</x:f>
        <x:v>MobyGames</x:v>
      </x:c>
      <x:c r="BB1048" s="9" t="str"/>
      <x:c r="BC1048" s="9" t="str"/>
      <x:c r="BD1048" s="9"/>
      <x:c r="BE1048" s="9"/>
      <x:c r="BF1048" s="11" t="str">
        <x:f>HYPERLINK("https://backloggd.com/search/games/Ie%20Naki%20Ko%3A%20Suzu%20no%20Sentaku/","Backloggd")</x:f>
        <x:v>Backloggd</x:v>
      </x:c>
      <x:c r="BG1048" s="9"/>
      <x:c r="BH1048" s="9"/>
      <x:c r="BI1048" s="12" t="str">
        <x:v>No</x:v>
      </x:c>
      <x:c r="BJ1048" s="12" t="str"/>
      <x:c r="BK1048" s="12" t="str">
        <x:v>No</x:v>
      </x:c>
      <x:c r="BL1048" s="12" t="str"/>
      <x:c r="BM1048" s="12" t="str"/>
      <x:c r="BN1048" s="12" t="str"/>
      <x:c r="BO1048" s="12" t="str"/>
      <x:c r="BP1048" s="12" t="str"/>
      <x:c r="BQ1048" s="12" t="str"/>
    </x:row>
    <x:row r="1049">
      <x:c r="A1049" s="9" t="str">
        <x:v>playdia-15</x:v>
      </x:c>
      <x:c r="B1049" s="9" t="str">
        <x:v>gamera-the-time-adventure</x:v>
      </x:c>
      <x:c r="C1049" s="9" t="str">
        <x:v>Bandai Playdia</x:v>
      </x:c>
      <x:c r="D1049" s="9" t="str">
        <x:v>Gamera: The Time Adventure</x:v>
      </x:c>
      <x:c r="E1049" s="9" t="str">
        <x:v>BAPD-15</x:v>
      </x:c>
      <x:c r="F1049" s="9" t="str">
        <x:v>Bandai (verify)</x:v>
      </x:c>
      <x:c r="G1049" s="9" t="str">
        <x:v>Bandai</x:v>
      </x:c>
      <x:c r="H1049" s="9" t="n">
        <x:v>1995</x:v>
      </x:c>
      <x:c r="I1049" s="9" t="str">
        <x:v>No</x:v>
      </x:c>
      <x:c r="J1049" s="9" t="str">
        <x:v>Yes</x:v>
      </x:c>
      <x:c r="K1049" s="9" t="str">
        <x:v>No</x:v>
      </x:c>
      <x:c r="L1049" s="9" t="str">
        <x:v>No</x:v>
      </x:c>
      <x:c r="M1049" s="9" t="str">
        <x:v>Interactive tokusatsu with quick-time events</x:v>
      </x:c>
      <x:c r="N1049" s="9" t="str">
        <x:v>Live-action</x:v>
      </x:c>
      <x:c r="O1049" s="9" t="n">
        <x:v>10</x:v>
      </x:c>
      <x:c r="P1049" s="9" t="str">
        <x:v>FMV adventure</x:v>
      </x:c>
      <x:c r="Q1049" s="9" t="str">
        <x:v>Released</x:v>
      </x:c>
      <x:c r="R1049" s="9" t="str">
        <x:v>Licensed footage from all eight Showa Gamera films (Daiei)</x:v>
      </x:c>
      <x:c r="S1049" s="9" t="str">
        <x:v>None</x:v>
      </x:c>
      <x:c r="T1049" s="9" t="str">
        <x:v>Ayako Fujitani in new live-action scenes; the Showa films' casts in archive footage</x:v>
      </x:c>
      <x:c r="U1049" s="9" t="n">
        <x:v>1</x:v>
      </x:c>
      <x:c r="V1049" s="9" t="str">
        <x:v>No</x:v>
      </x:c>
      <x:c r="W1049" s="9" t="str">
        <x:v>Playdia (BA-001) with its infrared pad; the system has no save memory (verify)</x:v>
      </x:c>
      <x:c r="X1049" s="9" t="str">
        <x:v>Med–High</x:v>
      </x:c>
      <x:c r="Y1049" s="9" t="str">
        <x:v>Daiei Gamera film footage</x:v>
      </x:c>
      <x:c r="Z1049" s="9" t="str">
        <x:v>45–60 min</x:v>
      </x:c>
      <x:c r="AA1049" s="9" t="str">
        <x:v>Seven time periods, one per Showa Gamera film, with a time machine superimposed over the kaiju footage and button prompts to fight the monsters.</x:v>
      </x:c>
      <x:c r="AB1049" s="9" t="str">
        <x:v>None known</x:v>
      </x:c>
      <x:c r="AC1049" s="9" t="str">
        <x:v>Film footage with the Plasma Blue time machine and 'time records' overlaid; quick-time attacks</x:v>
      </x:c>
      <x:c r="AD1049" s="9" t="str">
        <x:v>Easy; a missed time record replays the level</x:v>
      </x:c>
      <x:c r="AE1049" s="9" t="str">
        <x:v>One, then a trailer for Gamera: Guardian of the Universe (1995)</x:v>
      </x:c>
      <x:c r="AF1049" s="9" t="str">
        <x:v>Every Showa Gamera monster appears, all in stock footage. The cover's monster line-up (all but Barugon) reappeared in GAMERA -Rebirth- nearly 30 years later.</x:v>
      </x:c>
      <x:c r="AG1049" s="9" t="str">
        <x:v>Single release</x:v>
      </x:c>
      <x:c r="AH1049" s="9" t="str">
        <x:v>No</x:v>
      </x:c>
      <x:c r="AI1049" s="9" t="str">
        <x:v>Import</x:v>
      </x:c>
      <x:c r="AJ1049" s="9" t="str">
        <x:v>Original disc on an imported Playdia (NTSC-J, no region lock beyond the hardware); MAME's Playdia driver is preliminary (verify)</x:v>
      </x:c>
      <x:c r="AK1049" s="9" t="str">
        <x:v>Facts from Wikizilla's page.</x:v>
      </x:c>
      <x:c r="AL1049" s="10"/>
      <x:c r="AM1049" s="10"/>
      <x:c r="AN1049" s="10"/>
      <x:c r="AO1049" s="9"/>
      <x:c r="AP1049" s="11" t="str">
        <x:f>HYPERLINK("https://www.pricecharting.com/search-products?q=Gamera%3A+The+Time+Adventure+playdia&amp;type=prices","PriceCharting")</x:f>
        <x:v>PriceCharting</x:v>
      </x:c>
      <x:c r="AQ1049" s="9"/>
      <x:c r="AR1049" s="9"/>
      <x:c r="AS1049" s="9"/>
      <x:c r="AT1049" s="9"/>
      <x:c r="AU1049" s="9"/>
      <x:c r="AV1049" s="9"/>
      <x:c r="AW1049" s="9"/>
      <x:c r="AX1049" s="9"/>
      <x:c r="AY1049" s="9"/>
      <x:c r="AZ1049" s="9"/>
      <x:c r="BA1049" s="11" t="str">
        <x:f>HYPERLINK("https://www.mobygames.com/search/?q=Gamera%3A+The+Time+Adventure","MobyGames")</x:f>
        <x:v>MobyGames</x:v>
      </x:c>
      <x:c r="BB1049" s="9" t="str"/>
      <x:c r="BC1049" s="9" t="str"/>
      <x:c r="BD1049" s="9"/>
      <x:c r="BE1049" s="11" t="str">
        <x:f>HYPERLINK("https://wikizilla.wikiteq.com/wiki/Gamera:_The_Time_Adventure","Wikipedia")</x:f>
        <x:v>Wikipedia</x:v>
      </x:c>
      <x:c r="BF1049" s="11" t="str">
        <x:f>HYPERLINK("https://backloggd.com/search/games/Gamera%3A%20The%20Time%20Adventure/","Backloggd")</x:f>
        <x:v>Backloggd</x:v>
      </x:c>
      <x:c r="BG1049" s="9"/>
      <x:c r="BH1049" s="9"/>
      <x:c r="BI1049" s="12" t="str">
        <x:v>No</x:v>
      </x:c>
      <x:c r="BJ1049" s="12" t="str"/>
      <x:c r="BK1049" s="12" t="str">
        <x:v>No</x:v>
      </x:c>
      <x:c r="BL1049" s="12" t="str"/>
      <x:c r="BM1049" s="12" t="str"/>
      <x:c r="BN1049" s="12" t="str"/>
      <x:c r="BO1049" s="12" t="str"/>
      <x:c r="BP1049" s="12" t="str"/>
      <x:c r="BQ1049" s="12" t="str"/>
    </x:row>
    <x:row r="1050">
      <x:c r="A1050" s="9" t="str">
        <x:v>playdia-16</x:v>
      </x:c>
      <x:c r="B1050" s="9" t="str">
        <x:v>elements-voice-series-vol-1</x:v>
      </x:c>
      <x:c r="C1050" s="9" t="str">
        <x:v>Bandai Playdia</x:v>
      </x:c>
      <x:c r="D1050" s="9" t="str">
        <x:v>Elements Voice Series Vol. 1: Mika Kanai – Wind &amp; Breeze</x:v>
      </x:c>
      <x:c r="E1050" s="9" t="str">
        <x:v>BAPD-18</x:v>
      </x:c>
      <x:c r="F1050" s="9" t="str">
        <x:v>Bandai (verify)</x:v>
      </x:c>
      <x:c r="G1050" s="9" t="str">
        <x:v>Bandai</x:v>
      </x:c>
      <x:c r="H1050" s="9" t="n">
        <x:v>1995</x:v>
      </x:c>
      <x:c r="I1050" s="9" t="str">
        <x:v>No</x:v>
      </x:c>
      <x:c r="J1050" s="9" t="str">
        <x:v>Yes</x:v>
      </x:c>
      <x:c r="K1050" s="9" t="str">
        <x:v>No</x:v>
      </x:c>
      <x:c r="L1050" s="9" t="str">
        <x:v>No</x:v>
      </x:c>
      <x:c r="M1050" s="9" t="str">
        <x:v>Voice-actress video disc</x:v>
      </x:c>
      <x:c r="N1050" s="9" t="str">
        <x:v>Live-action</x:v>
      </x:c>
      <x:c r="O1050" s="9" t="n">
        <x:v>10</x:v>
      </x:c>
      <x:c r="P1050" s="9" t="str">
        <x:v>Non-game video</x:v>
      </x:c>
      <x:c r="Q1050" s="9" t="str">
        <x:v>Released</x:v>
      </x:c>
      <x:c r="R1050" s="9" t="str">
        <x:v>Original production (Bandai)</x:v>
      </x:c>
      <x:c r="S1050" s="9" t="str">
        <x:v>None</x:v>
      </x:c>
      <x:c r="T1050" s="9" t="str">
        <x:v>Mika Kanai</x:v>
      </x:c>
      <x:c r="U1050" s="9" t="n">
        <x:v>1</x:v>
      </x:c>
      <x:c r="V1050" s="9" t="str">
        <x:v>No</x:v>
      </x:c>
      <x:c r="W1050" s="9" t="str">
        <x:v>Playdia (BA-001) with its infrared pad; the system has no save memory (verify)</x:v>
      </x:c>
      <x:c r="X1050" s="9" t="str">
        <x:v>Med</x:v>
      </x:c>
      <x:c r="Y1050" s="9" t="str">
        <x:v>Music</x:v>
      </x:c>
      <x:c r="Z1050" s="9" t="str">
        <x:v>30–45 min</x:v>
      </x:c>
      <x:c r="AA1050" s="9" t="str">
        <x:v>A video magazine disc for the voice actress Mika Kanai: interviews, songs and footage, browsed with the pad.</x:v>
      </x:c>
      <x:c r="AB1050" s="9" t="str">
        <x:v>None known</x:v>
      </x:c>
      <x:c r="AC1050" s="9" t="str">
        <x:v>Filmed segments and music videos chosen from menus</x:v>
      </x:c>
      <x:c r="AD1050" s="9" t="str">
        <x:v>None</x:v>
      </x:c>
      <x:c r="AE1050" s="9" t="str">
        <x:v>None</x:v>
      </x:c>
      <x:c r="AF1050" s="9" t="str">
        <x:v>Part of a five-disc series of seiyū video discs, the Playdia's only grown-up line; aimed at anime fans rather than children.</x:v>
      </x:c>
      <x:c r="AG1050" s="9" t="str">
        <x:v>Five volumes</x:v>
      </x:c>
      <x:c r="AH1050" s="9" t="str">
        <x:v>No</x:v>
      </x:c>
      <x:c r="AI1050" s="9" t="str">
        <x:v>Import</x:v>
      </x:c>
      <x:c r="AJ1050" s="9" t="str">
        <x:v>Original disc on an imported Playdia (NTSC-J, no region lock beyond the hardware); MAME's Playdia driver is preliminary (verify)</x:v>
      </x:c>
      <x:c r="AK1050" s="9" t="str">
        <x:v>Facts from the catalogue; the disc content is inferred from the series name (verify).</x:v>
      </x:c>
      <x:c r="AL1050" s="10"/>
      <x:c r="AM1050" s="10"/>
      <x:c r="AN1050" s="10"/>
      <x:c r="AO1050" s="9"/>
      <x:c r="AP1050" s="11" t="str">
        <x:f>HYPERLINK("https://www.pricecharting.com/search-products?q=Elements+Voice+Series+Vol.+1%3A+Mika+Kanai+%E2%80%93+Wind+%26+Breeze+playdia&amp;type=prices","PriceCharting")</x:f>
        <x:v>PriceCharting</x:v>
      </x:c>
      <x:c r="AQ1050" s="9"/>
      <x:c r="AR1050" s="9"/>
      <x:c r="AS1050" s="9"/>
      <x:c r="AT1050" s="9"/>
      <x:c r="AU1050" s="9"/>
      <x:c r="AV1050" s="9"/>
      <x:c r="AW1050" s="9"/>
      <x:c r="AX1050" s="9"/>
      <x:c r="AY1050" s="9"/>
      <x:c r="AZ1050" s="9"/>
      <x:c r="BA1050" s="11" t="str">
        <x:f>HYPERLINK("https://www.mobygames.com/search/?q=Elements+Voice+Series+Vol.+1%3A+Mika+Kanai+%E2%80%93+Wind+%26+Breeze","MobyGames")</x:f>
        <x:v>MobyGames</x:v>
      </x:c>
      <x:c r="BB1050" s="9" t="str"/>
      <x:c r="BC1050" s="9" t="str"/>
      <x:c r="BD1050" s="9"/>
      <x:c r="BE1050" s="9"/>
      <x:c r="BF1050" s="11" t="str">
        <x:f>HYPERLINK("https://backloggd.com/search/games/Elements%20Voice%20Series%20Vol.%201%3A%20Mika%20Kanai%20%E2%80%93%20Wind%20%26%20Breeze/","Backloggd")</x:f>
        <x:v>Backloggd</x:v>
      </x:c>
      <x:c r="BG1050" s="9"/>
      <x:c r="BH1050" s="9"/>
      <x:c r="BI1050" s="12" t="str">
        <x:v>No</x:v>
      </x:c>
      <x:c r="BJ1050" s="12" t="str"/>
      <x:c r="BK1050" s="12" t="str">
        <x:v>No</x:v>
      </x:c>
      <x:c r="BL1050" s="12" t="str"/>
      <x:c r="BM1050" s="12" t="str"/>
      <x:c r="BN1050" s="12" t="str"/>
      <x:c r="BO1050" s="12" t="str"/>
      <x:c r="BP1050" s="12" t="str"/>
      <x:c r="BQ1050" s="12" t="str"/>
    </x:row>
    <x:row r="1051">
      <x:c r="A1051" s="9" t="str">
        <x:v>playdia-17</x:v>
      </x:c>
      <x:c r="B1051" s="9" t="str">
        <x:v>elements-voice-series-vol-2</x:v>
      </x:c>
      <x:c r="C1051" s="9" t="str">
        <x:v>Bandai Playdia</x:v>
      </x:c>
      <x:c r="D1051" s="9" t="str">
        <x:v>Elements Voice Series Vol. 2: Rica Fukami – Private Step</x:v>
      </x:c>
      <x:c r="E1051" s="9" t="str">
        <x:v>BAPD-19</x:v>
      </x:c>
      <x:c r="F1051" s="9" t="str">
        <x:v>Bandai (verify)</x:v>
      </x:c>
      <x:c r="G1051" s="9" t="str">
        <x:v>Bandai</x:v>
      </x:c>
      <x:c r="H1051" s="9" t="n">
        <x:v>1995</x:v>
      </x:c>
      <x:c r="I1051" s="9" t="str">
        <x:v>No</x:v>
      </x:c>
      <x:c r="J1051" s="9" t="str">
        <x:v>Yes</x:v>
      </x:c>
      <x:c r="K1051" s="9" t="str">
        <x:v>No</x:v>
      </x:c>
      <x:c r="L1051" s="9" t="str">
        <x:v>No</x:v>
      </x:c>
      <x:c r="M1051" s="9" t="str">
        <x:v>Voice-actress video disc</x:v>
      </x:c>
      <x:c r="N1051" s="9" t="str">
        <x:v>Live-action</x:v>
      </x:c>
      <x:c r="O1051" s="9" t="n">
        <x:v>10</x:v>
      </x:c>
      <x:c r="P1051" s="9" t="str">
        <x:v>Non-game video</x:v>
      </x:c>
      <x:c r="Q1051" s="9" t="str">
        <x:v>Released</x:v>
      </x:c>
      <x:c r="R1051" s="9" t="str">
        <x:v>Original production (Bandai)</x:v>
      </x:c>
      <x:c r="S1051" s="9" t="str">
        <x:v>None</x:v>
      </x:c>
      <x:c r="T1051" s="9" t="str">
        <x:v>Rica Fukami</x:v>
      </x:c>
      <x:c r="U1051" s="9" t="n">
        <x:v>1</x:v>
      </x:c>
      <x:c r="V1051" s="9" t="str">
        <x:v>No</x:v>
      </x:c>
      <x:c r="W1051" s="9" t="str">
        <x:v>Playdia (BA-001) with its infrared pad; the system has no save memory (verify)</x:v>
      </x:c>
      <x:c r="X1051" s="9" t="str">
        <x:v>Med</x:v>
      </x:c>
      <x:c r="Y1051" s="9" t="str">
        <x:v>Music</x:v>
      </x:c>
      <x:c r="Z1051" s="9" t="str">
        <x:v>30–45 min</x:v>
      </x:c>
      <x:c r="AA1051" s="9" t="str">
        <x:v>A video magazine disc for the voice actress Rica Fukami: interviews, songs and footage, browsed with the pad.</x:v>
      </x:c>
      <x:c r="AB1051" s="9" t="str">
        <x:v>None known</x:v>
      </x:c>
      <x:c r="AC1051" s="9" t="str">
        <x:v>Filmed segments and music videos chosen from menus</x:v>
      </x:c>
      <x:c r="AD1051" s="9" t="str">
        <x:v>None</x:v>
      </x:c>
      <x:c r="AE1051" s="9" t="str">
        <x:v>None</x:v>
      </x:c>
      <x:c r="AF1051" s="9" t="str">
        <x:v>Part of a five-disc series of seiyū video discs, the Playdia's only grown-up line; aimed at anime fans rather than children.</x:v>
      </x:c>
      <x:c r="AG1051" s="9" t="str">
        <x:v>Five volumes</x:v>
      </x:c>
      <x:c r="AH1051" s="9" t="str">
        <x:v>No</x:v>
      </x:c>
      <x:c r="AI1051" s="9" t="str">
        <x:v>Import</x:v>
      </x:c>
      <x:c r="AJ1051" s="9" t="str">
        <x:v>Original disc on an imported Playdia (NTSC-J, no region lock beyond the hardware); MAME's Playdia driver is preliminary (verify)</x:v>
      </x:c>
      <x:c r="AK1051" s="9" t="str">
        <x:v>Facts from the catalogue; the disc content is inferred from the series name (verify).</x:v>
      </x:c>
      <x:c r="AL1051" s="10"/>
      <x:c r="AM1051" s="10"/>
      <x:c r="AN1051" s="10"/>
      <x:c r="AO1051" s="9"/>
      <x:c r="AP1051" s="11" t="str">
        <x:f>HYPERLINK("https://www.pricecharting.com/search-products?q=Elements+Voice+Series+Vol.+2%3A+Rica+Fukami+%E2%80%93+Private+Step+playdia&amp;type=prices","PriceCharting")</x:f>
        <x:v>PriceCharting</x:v>
      </x:c>
      <x:c r="AQ1051" s="9"/>
      <x:c r="AR1051" s="9"/>
      <x:c r="AS1051" s="9"/>
      <x:c r="AT1051" s="9"/>
      <x:c r="AU1051" s="9"/>
      <x:c r="AV1051" s="9"/>
      <x:c r="AW1051" s="9"/>
      <x:c r="AX1051" s="9"/>
      <x:c r="AY1051" s="9"/>
      <x:c r="AZ1051" s="9"/>
      <x:c r="BA1051" s="11" t="str">
        <x:f>HYPERLINK("https://www.mobygames.com/search/?q=Elements+Voice+Series+Vol.+2%3A+Rica+Fukami+%E2%80%93+Private+Step","MobyGames")</x:f>
        <x:v>MobyGames</x:v>
      </x:c>
      <x:c r="BB1051" s="9" t="str"/>
      <x:c r="BC1051" s="9" t="str"/>
      <x:c r="BD1051" s="9"/>
      <x:c r="BE1051" s="9"/>
      <x:c r="BF1051" s="11" t="str">
        <x:f>HYPERLINK("https://backloggd.com/search/games/Elements%20Voice%20Series%20Vol.%202%3A%20Rica%20Fukami%20%E2%80%93%20Private%20Step/","Backloggd")</x:f>
        <x:v>Backloggd</x:v>
      </x:c>
      <x:c r="BG1051" s="9"/>
      <x:c r="BH1051" s="9"/>
      <x:c r="BI1051" s="12" t="str">
        <x:v>No</x:v>
      </x:c>
      <x:c r="BJ1051" s="12" t="str"/>
      <x:c r="BK1051" s="12" t="str">
        <x:v>No</x:v>
      </x:c>
      <x:c r="BL1051" s="12" t="str"/>
      <x:c r="BM1051" s="12" t="str"/>
      <x:c r="BN1051" s="12" t="str"/>
      <x:c r="BO1051" s="12" t="str"/>
      <x:c r="BP1051" s="12" t="str"/>
      <x:c r="BQ1051" s="12" t="str"/>
    </x:row>
    <x:row r="1052">
      <x:c r="A1052" s="9" t="str">
        <x:v>playdia-18</x:v>
      </x:c>
      <x:c r="B1052" s="9" t="str">
        <x:v>elements-voice-series-vol-3</x:v>
      </x:c>
      <x:c r="C1052" s="9" t="str">
        <x:v>Bandai Playdia</x:v>
      </x:c>
      <x:c r="D1052" s="9" t="str">
        <x:v>Elements Voice Series Vol. 3: Aya Hisakawa – Forest Sways</x:v>
      </x:c>
      <x:c r="E1052" s="9" t="str">
        <x:v>BAPD-20</x:v>
      </x:c>
      <x:c r="F1052" s="9" t="str">
        <x:v>Bandai (verify)</x:v>
      </x:c>
      <x:c r="G1052" s="9" t="str">
        <x:v>Bandai</x:v>
      </x:c>
      <x:c r="H1052" s="9" t="n">
        <x:v>1995</x:v>
      </x:c>
      <x:c r="I1052" s="9" t="str">
        <x:v>No</x:v>
      </x:c>
      <x:c r="J1052" s="9" t="str">
        <x:v>Yes</x:v>
      </x:c>
      <x:c r="K1052" s="9" t="str">
        <x:v>No</x:v>
      </x:c>
      <x:c r="L1052" s="9" t="str">
        <x:v>No</x:v>
      </x:c>
      <x:c r="M1052" s="9" t="str">
        <x:v>Voice-actress video disc</x:v>
      </x:c>
      <x:c r="N1052" s="9" t="str">
        <x:v>Live-action</x:v>
      </x:c>
      <x:c r="O1052" s="9" t="n">
        <x:v>10</x:v>
      </x:c>
      <x:c r="P1052" s="9" t="str">
        <x:v>Non-game video</x:v>
      </x:c>
      <x:c r="Q1052" s="9" t="str">
        <x:v>Released</x:v>
      </x:c>
      <x:c r="R1052" s="9" t="str">
        <x:v>Original production (Bandai)</x:v>
      </x:c>
      <x:c r="S1052" s="9" t="str">
        <x:v>None</x:v>
      </x:c>
      <x:c r="T1052" s="9" t="str">
        <x:v>Aya Hisakawa</x:v>
      </x:c>
      <x:c r="U1052" s="9" t="n">
        <x:v>1</x:v>
      </x:c>
      <x:c r="V1052" s="9" t="str">
        <x:v>No</x:v>
      </x:c>
      <x:c r="W1052" s="9" t="str">
        <x:v>Playdia (BA-001) with its infrared pad; the system has no save memory (verify)</x:v>
      </x:c>
      <x:c r="X1052" s="9" t="str">
        <x:v>Med</x:v>
      </x:c>
      <x:c r="Y1052" s="9" t="str">
        <x:v>Music</x:v>
      </x:c>
      <x:c r="Z1052" s="9" t="str">
        <x:v>30–45 min</x:v>
      </x:c>
      <x:c r="AA1052" s="9" t="str">
        <x:v>A video magazine disc for the voice actress Aya Hisakawa: interviews, songs and footage, browsed with the pad.</x:v>
      </x:c>
      <x:c r="AB1052" s="9" t="str">
        <x:v>None known</x:v>
      </x:c>
      <x:c r="AC1052" s="9" t="str">
        <x:v>Filmed segments and music videos chosen from menus</x:v>
      </x:c>
      <x:c r="AD1052" s="9" t="str">
        <x:v>None</x:v>
      </x:c>
      <x:c r="AE1052" s="9" t="str">
        <x:v>None</x:v>
      </x:c>
      <x:c r="AF1052" s="9" t="str">
        <x:v>Part of a five-disc series of seiyū video discs, the Playdia's only grown-up line; aimed at anime fans rather than children.</x:v>
      </x:c>
      <x:c r="AG1052" s="9" t="str">
        <x:v>Five volumes</x:v>
      </x:c>
      <x:c r="AH1052" s="9" t="str">
        <x:v>No</x:v>
      </x:c>
      <x:c r="AI1052" s="9" t="str">
        <x:v>Import</x:v>
      </x:c>
      <x:c r="AJ1052" s="9" t="str">
        <x:v>Original disc on an imported Playdia (NTSC-J, no region lock beyond the hardware); MAME's Playdia driver is preliminary (verify)</x:v>
      </x:c>
      <x:c r="AK1052" s="9" t="str">
        <x:v>Facts from the catalogue; the disc content is inferred from the series name (verify).</x:v>
      </x:c>
      <x:c r="AL1052" s="10"/>
      <x:c r="AM1052" s="10"/>
      <x:c r="AN1052" s="10"/>
      <x:c r="AO1052" s="9"/>
      <x:c r="AP1052" s="11" t="str">
        <x:f>HYPERLINK("https://www.pricecharting.com/search-products?q=Elements+Voice+Series+Vol.+3%3A+Aya+Hisakawa+%E2%80%93+Forest+Sways+playdia&amp;type=prices","PriceCharting")</x:f>
        <x:v>PriceCharting</x:v>
      </x:c>
      <x:c r="AQ1052" s="9"/>
      <x:c r="AR1052" s="9"/>
      <x:c r="AS1052" s="9"/>
      <x:c r="AT1052" s="9"/>
      <x:c r="AU1052" s="9"/>
      <x:c r="AV1052" s="9"/>
      <x:c r="AW1052" s="9"/>
      <x:c r="AX1052" s="9"/>
      <x:c r="AY1052" s="9"/>
      <x:c r="AZ1052" s="9"/>
      <x:c r="BA1052" s="11" t="str">
        <x:f>HYPERLINK("https://www.mobygames.com/search/?q=Elements+Voice+Series+Vol.+3%3A+Aya+Hisakawa+%E2%80%93+Forest+Sways","MobyGames")</x:f>
        <x:v>MobyGames</x:v>
      </x:c>
      <x:c r="BB1052" s="9" t="str"/>
      <x:c r="BC1052" s="9" t="str"/>
      <x:c r="BD1052" s="9"/>
      <x:c r="BE1052" s="9"/>
      <x:c r="BF1052" s="11" t="str">
        <x:f>HYPERLINK("https://backloggd.com/search/games/Elements%20Voice%20Series%20Vol.%203%3A%20Aya%20Hisakawa%20%E2%80%93%20Forest%20Sways/","Backloggd")</x:f>
        <x:v>Backloggd</x:v>
      </x:c>
      <x:c r="BG1052" s="9"/>
      <x:c r="BH1052" s="9"/>
      <x:c r="BI1052" s="12" t="str">
        <x:v>No</x:v>
      </x:c>
      <x:c r="BJ1052" s="12" t="str"/>
      <x:c r="BK1052" s="12" t="str">
        <x:v>No</x:v>
      </x:c>
      <x:c r="BL1052" s="12" t="str"/>
      <x:c r="BM1052" s="12" t="str"/>
      <x:c r="BN1052" s="12" t="str"/>
      <x:c r="BO1052" s="12" t="str"/>
      <x:c r="BP1052" s="12" t="str"/>
      <x:c r="BQ1052" s="12" t="str"/>
    </x:row>
    <x:row r="1053">
      <x:c r="A1053" s="9" t="str">
        <x:v>playdia-19</x:v>
      </x:c>
      <x:c r="B1053" s="9" t="str">
        <x:v>elements-voice-series-vol-4</x:v>
      </x:c>
      <x:c r="C1053" s="9" t="str">
        <x:v>Bandai Playdia</x:v>
      </x:c>
      <x:c r="D1053" s="9" t="str">
        <x:v>Elements Voice Series Vol. 4: Yuri Shiratori – Rainbow Harmony</x:v>
      </x:c>
      <x:c r="E1053" s="9" t="str">
        <x:v>BKPD-02</x:v>
      </x:c>
      <x:c r="F1053" s="9" t="str">
        <x:v>Bandai (verify)</x:v>
      </x:c>
      <x:c r="G1053" s="9" t="str">
        <x:v>Bandai</x:v>
      </x:c>
      <x:c r="H1053" s="9" t="n">
        <x:v>1995</x:v>
      </x:c>
      <x:c r="I1053" s="9" t="str">
        <x:v>No</x:v>
      </x:c>
      <x:c r="J1053" s="9" t="str">
        <x:v>Yes</x:v>
      </x:c>
      <x:c r="K1053" s="9" t="str">
        <x:v>No</x:v>
      </x:c>
      <x:c r="L1053" s="9" t="str">
        <x:v>No</x:v>
      </x:c>
      <x:c r="M1053" s="9" t="str">
        <x:v>Voice-actress video disc</x:v>
      </x:c>
      <x:c r="N1053" s="9" t="str">
        <x:v>Live-action</x:v>
      </x:c>
      <x:c r="O1053" s="9" t="n">
        <x:v>10</x:v>
      </x:c>
      <x:c r="P1053" s="9" t="str">
        <x:v>Non-game video</x:v>
      </x:c>
      <x:c r="Q1053" s="9" t="str">
        <x:v>Released</x:v>
      </x:c>
      <x:c r="R1053" s="9" t="str">
        <x:v>Original production (Bandai)</x:v>
      </x:c>
      <x:c r="S1053" s="9" t="str">
        <x:v>None</x:v>
      </x:c>
      <x:c r="T1053" s="9" t="str">
        <x:v>Yuri Shiratori</x:v>
      </x:c>
      <x:c r="U1053" s="9" t="n">
        <x:v>1</x:v>
      </x:c>
      <x:c r="V1053" s="9" t="str">
        <x:v>No</x:v>
      </x:c>
      <x:c r="W1053" s="9" t="str">
        <x:v>Playdia (BA-001) with its infrared pad; the system has no save memory (verify)</x:v>
      </x:c>
      <x:c r="X1053" s="9" t="str">
        <x:v>Med</x:v>
      </x:c>
      <x:c r="Y1053" s="9" t="str">
        <x:v>Music</x:v>
      </x:c>
      <x:c r="Z1053" s="9" t="str">
        <x:v>30–45 min</x:v>
      </x:c>
      <x:c r="AA1053" s="9" t="str">
        <x:v>A video magazine disc for the voice actress Yuri Shiratori: interviews, songs and footage, browsed with the pad.</x:v>
      </x:c>
      <x:c r="AB1053" s="9" t="str">
        <x:v>None known</x:v>
      </x:c>
      <x:c r="AC1053" s="9" t="str">
        <x:v>Filmed segments and music videos chosen from menus</x:v>
      </x:c>
      <x:c r="AD1053" s="9" t="str">
        <x:v>None</x:v>
      </x:c>
      <x:c r="AE1053" s="9" t="str">
        <x:v>None</x:v>
      </x:c>
      <x:c r="AF1053" s="9" t="str">
        <x:v>Part of a five-disc series of seiyū video discs, the Playdia's only grown-up line; aimed at anime fans rather than children.</x:v>
      </x:c>
      <x:c r="AG1053" s="9" t="str">
        <x:v>Five volumes</x:v>
      </x:c>
      <x:c r="AH1053" s="9" t="str">
        <x:v>No</x:v>
      </x:c>
      <x:c r="AI1053" s="9" t="str">
        <x:v>Import</x:v>
      </x:c>
      <x:c r="AJ1053" s="9" t="str">
        <x:v>Original disc on an imported Playdia (NTSC-J, no region lock beyond the hardware); MAME's Playdia driver is preliminary (verify)</x:v>
      </x:c>
      <x:c r="AK1053" s="9" t="str">
        <x:v>Facts from the catalogue; the disc content is inferred from the series name (verify).</x:v>
      </x:c>
      <x:c r="AL1053" s="10"/>
      <x:c r="AM1053" s="10"/>
      <x:c r="AN1053" s="10"/>
      <x:c r="AO1053" s="9"/>
      <x:c r="AP1053" s="11" t="str">
        <x:f>HYPERLINK("https://www.pricecharting.com/search-products?q=Elements+Voice+Series+Vol.+4%3A+Yuri+Shiratori+%E2%80%93+Rainbow+Harmony+playdia&amp;type=prices","PriceCharting")</x:f>
        <x:v>PriceCharting</x:v>
      </x:c>
      <x:c r="AQ1053" s="9"/>
      <x:c r="AR1053" s="9"/>
      <x:c r="AS1053" s="9"/>
      <x:c r="AT1053" s="9"/>
      <x:c r="AU1053" s="9"/>
      <x:c r="AV1053" s="9"/>
      <x:c r="AW1053" s="9"/>
      <x:c r="AX1053" s="9"/>
      <x:c r="AY1053" s="9"/>
      <x:c r="AZ1053" s="9"/>
      <x:c r="BA1053" s="11" t="str">
        <x:f>HYPERLINK("https://www.mobygames.com/search/?q=Elements+Voice+Series+Vol.+4%3A+Yuri+Shiratori+%E2%80%93+Rainbow+Harmony","MobyGames")</x:f>
        <x:v>MobyGames</x:v>
      </x:c>
      <x:c r="BB1053" s="9" t="str"/>
      <x:c r="BC1053" s="9" t="str"/>
      <x:c r="BD1053" s="9"/>
      <x:c r="BE1053" s="9"/>
      <x:c r="BF1053" s="11" t="str">
        <x:f>HYPERLINK("https://backloggd.com/search/games/Elements%20Voice%20Series%20Vol.%204%3A%20Yuri%20Shiratori%20%E2%80%93%20Rainbow%20Harmony/","Backloggd")</x:f>
        <x:v>Backloggd</x:v>
      </x:c>
      <x:c r="BG1053" s="9"/>
      <x:c r="BH1053" s="9"/>
      <x:c r="BI1053" s="12" t="str">
        <x:v>No</x:v>
      </x:c>
      <x:c r="BJ1053" s="12" t="str"/>
      <x:c r="BK1053" s="12" t="str">
        <x:v>No</x:v>
      </x:c>
      <x:c r="BL1053" s="12" t="str"/>
      <x:c r="BM1053" s="12" t="str"/>
      <x:c r="BN1053" s="12" t="str"/>
      <x:c r="BO1053" s="12" t="str"/>
      <x:c r="BP1053" s="12" t="str"/>
      <x:c r="BQ1053" s="12" t="str"/>
    </x:row>
    <x:row r="1054">
      <x:c r="A1054" s="9" t="str">
        <x:v>playdia-20</x:v>
      </x:c>
      <x:c r="B1054" s="9" t="str">
        <x:v>elements-voice-series-vol-5</x:v>
      </x:c>
      <x:c r="C1054" s="9" t="str">
        <x:v>Bandai Playdia</x:v>
      </x:c>
      <x:c r="D1054" s="9" t="str">
        <x:v>Elements Voice Series Vol. 5: Mariko Kouda – Welcome to the Marikotown</x:v>
      </x:c>
      <x:c r="E1054" s="9" t="str">
        <x:v>BKPD-03</x:v>
      </x:c>
      <x:c r="F1054" s="9" t="str">
        <x:v>Bandai (verify)</x:v>
      </x:c>
      <x:c r="G1054" s="9" t="str">
        <x:v>Bandai</x:v>
      </x:c>
      <x:c r="H1054" s="9" t="n">
        <x:v>1996</x:v>
      </x:c>
      <x:c r="I1054" s="9" t="str">
        <x:v>No</x:v>
      </x:c>
      <x:c r="J1054" s="9" t="str">
        <x:v>Yes</x:v>
      </x:c>
      <x:c r="K1054" s="9" t="str">
        <x:v>No</x:v>
      </x:c>
      <x:c r="L1054" s="9" t="str">
        <x:v>No</x:v>
      </x:c>
      <x:c r="M1054" s="9" t="str">
        <x:v>Voice-actress video disc</x:v>
      </x:c>
      <x:c r="N1054" s="9" t="str">
        <x:v>Live-action</x:v>
      </x:c>
      <x:c r="O1054" s="9" t="n">
        <x:v>10</x:v>
      </x:c>
      <x:c r="P1054" s="9" t="str">
        <x:v>Non-game video</x:v>
      </x:c>
      <x:c r="Q1054" s="9" t="str">
        <x:v>Released</x:v>
      </x:c>
      <x:c r="R1054" s="9" t="str">
        <x:v>Original production (Bandai)</x:v>
      </x:c>
      <x:c r="S1054" s="9" t="str">
        <x:v>None</x:v>
      </x:c>
      <x:c r="T1054" s="9" t="str">
        <x:v>Mariko Kouda</x:v>
      </x:c>
      <x:c r="U1054" s="9" t="n">
        <x:v>1</x:v>
      </x:c>
      <x:c r="V1054" s="9" t="str">
        <x:v>No</x:v>
      </x:c>
      <x:c r="W1054" s="9" t="str">
        <x:v>Playdia (BA-001) with its infrared pad; the system has no save memory (verify)</x:v>
      </x:c>
      <x:c r="X1054" s="9" t="str">
        <x:v>Med</x:v>
      </x:c>
      <x:c r="Y1054" s="9" t="str">
        <x:v>Music</x:v>
      </x:c>
      <x:c r="Z1054" s="9" t="str">
        <x:v>30–45 min</x:v>
      </x:c>
      <x:c r="AA1054" s="9" t="str">
        <x:v>A video magazine disc for the voice actress Mariko Kouda: interviews, songs and footage, browsed with the pad.</x:v>
      </x:c>
      <x:c r="AB1054" s="9" t="str">
        <x:v>None known</x:v>
      </x:c>
      <x:c r="AC1054" s="9" t="str">
        <x:v>Filmed segments and music videos chosen from menus</x:v>
      </x:c>
      <x:c r="AD1054" s="9" t="str">
        <x:v>None</x:v>
      </x:c>
      <x:c r="AE1054" s="9" t="str">
        <x:v>None</x:v>
      </x:c>
      <x:c r="AF1054" s="9" t="str">
        <x:v>Part of a five-disc series of seiyū video discs, the Playdia's only grown-up line; aimed at anime fans rather than children.</x:v>
      </x:c>
      <x:c r="AG1054" s="9" t="str">
        <x:v>Five volumes</x:v>
      </x:c>
      <x:c r="AH1054" s="9" t="str">
        <x:v>No</x:v>
      </x:c>
      <x:c r="AI1054" s="9" t="str">
        <x:v>Import</x:v>
      </x:c>
      <x:c r="AJ1054" s="9" t="str">
        <x:v>Original disc on an imported Playdia (NTSC-J, no region lock beyond the hardware); MAME's Playdia driver is preliminary (verify)</x:v>
      </x:c>
      <x:c r="AK1054" s="9" t="str">
        <x:v>Facts from the catalogue; the disc content is inferred from the series name (verify).</x:v>
      </x:c>
      <x:c r="AL1054" s="10"/>
      <x:c r="AM1054" s="10"/>
      <x:c r="AN1054" s="10"/>
      <x:c r="AO1054" s="9"/>
      <x:c r="AP1054" s="11" t="str">
        <x:f>HYPERLINK("https://www.pricecharting.com/search-products?q=Elements+Voice+Series+Vol.+5%3A+Mariko+Kouda+%E2%80%93+Welcome+to+the+Marikotown+playdia&amp;type=prices","PriceCharting")</x:f>
        <x:v>PriceCharting</x:v>
      </x:c>
      <x:c r="AQ1054" s="9"/>
      <x:c r="AR1054" s="9"/>
      <x:c r="AS1054" s="9"/>
      <x:c r="AT1054" s="9"/>
      <x:c r="AU1054" s="9"/>
      <x:c r="AV1054" s="9"/>
      <x:c r="AW1054" s="9"/>
      <x:c r="AX1054" s="9"/>
      <x:c r="AY1054" s="9"/>
      <x:c r="AZ1054" s="9"/>
      <x:c r="BA1054" s="11" t="str">
        <x:f>HYPERLINK("https://www.mobygames.com/search/?q=Elements+Voice+Series+Vol.+5%3A+Mariko+Kouda+%E2%80%93+Welcome+to+the+Marikotown","MobyGames")</x:f>
        <x:v>MobyGames</x:v>
      </x:c>
      <x:c r="BB1054" s="9" t="str"/>
      <x:c r="BC1054" s="9" t="str"/>
      <x:c r="BD1054" s="9"/>
      <x:c r="BE1054" s="9"/>
      <x:c r="BF1054" s="11" t="str">
        <x:f>HYPERLINK("https://backloggd.com/search/games/Elements%20Voice%20Series%20Vol.%205%3A%20Mariko%20Kouda%20%E2%80%93%20Welcome%20to%20the%20Marikotown/","Backloggd")</x:f>
        <x:v>Backloggd</x:v>
      </x:c>
      <x:c r="BG1054" s="9"/>
      <x:c r="BH1054" s="9"/>
      <x:c r="BI1054" s="12" t="str">
        <x:v>No</x:v>
      </x:c>
      <x:c r="BJ1054" s="12" t="str"/>
      <x:c r="BK1054" s="12" t="str">
        <x:v>No</x:v>
      </x:c>
      <x:c r="BL1054" s="12" t="str"/>
      <x:c r="BM1054" s="12" t="str"/>
      <x:c r="BN1054" s="12" t="str"/>
      <x:c r="BO1054" s="12" t="str"/>
      <x:c r="BP1054" s="12" t="str"/>
      <x:c r="BQ1054" s="12" t="str"/>
    </x:row>
    <x:row r="1055">
      <x:c r="A1055" s="9" t="str">
        <x:v>playdia-21</x:v>
      </x:c>
      <x:c r="B1055" s="9" t="str">
        <x:v>sailor-moon-supers-hiragana-lesson</x:v>
      </x:c>
      <x:c r="C1055" s="9" t="str">
        <x:v>Bandai Playdia</x:v>
      </x:c>
      <x:c r="D1055" s="9" t="str">
        <x:v>Bishōjo Senshi Sailor Moon SuperS: Sailor Moon to Hiragana Lesson!</x:v>
      </x:c>
      <x:c r="E1055" s="9" t="str">
        <x:v>Hiragana Lessons with Sailor Moon! (BAPD-21)</x:v>
      </x:c>
      <x:c r="F1055" s="9" t="str">
        <x:v>Bandai (verify)</x:v>
      </x:c>
      <x:c r="G1055" s="9" t="str">
        <x:v>Bandai</x:v>
      </x:c>
      <x:c r="H1055" s="9" t="n">
        <x:v>1995</x:v>
      </x:c>
      <x:c r="I1055" s="9" t="str">
        <x:v>No</x:v>
      </x:c>
      <x:c r="J1055" s="9" t="str">
        <x:v>Yes</x:v>
      </x:c>
      <x:c r="K1055" s="9" t="str">
        <x:v>No</x:v>
      </x:c>
      <x:c r="L1055" s="9" t="str">
        <x:v>No</x:v>
      </x:c>
      <x:c r="M1055" s="9" t="str">
        <x:v>Children's lesson disc</x:v>
      </x:c>
      <x:c r="N1055" s="9" t="str">
        <x:v>Animated</x:v>
      </x:c>
      <x:c r="O1055" s="9" t="n">
        <x:v>9</x:v>
      </x:c>
      <x:c r="P1055" s="9" t="str">
        <x:v>Game show / trivia</x:v>
      </x:c>
      <x:c r="Q1055" s="9" t="str">
        <x:v>Released</x:v>
      </x:c>
      <x:c r="R1055" s="9" t="str">
        <x:v>Licensed Toei Sailor Moon SuperS footage</x:v>
      </x:c>
      <x:c r="S1055" s="9" t="str">
        <x:v>None</x:v>
      </x:c>
      <x:c r="T1055" s="9" t="str">
        <x:v>The Sailor Moon SuperS voice cast</x:v>
      </x:c>
      <x:c r="U1055" s="9" t="n">
        <x:v>1</x:v>
      </x:c>
      <x:c r="V1055" s="9" t="str">
        <x:v>No</x:v>
      </x:c>
      <x:c r="W1055" s="9" t="str">
        <x:v>Playdia (BA-001) with its infrared pad; the system has no save memory (verify)</x:v>
      </x:c>
      <x:c r="X1055" s="9" t="str">
        <x:v>Med</x:v>
      </x:c>
      <x:c r="Y1055" s="9" t="str">
        <x:v>Sailor Moon SuperS footage</x:v>
      </x:c>
      <x:c r="Z1055" s="9" t="str">
        <x:v>30 min</x:v>
      </x:c>
      <x:c r="AA1055" s="9" t="str">
        <x:v>Sailor Moon SuperS teaches hiragana: a clip, a question, a cheer or a groan.</x:v>
      </x:c>
      <x:c r="AB1055" s="9" t="str">
        <x:v>None known</x:v>
      </x:c>
      <x:c r="AC1055" s="9" t="str">
        <x:v>Children's lesson disc: short anime clips, then a question answered on the pad</x:v>
      </x:c>
      <x:c r="AD1055" s="9" t="str">
        <x:v>Easy; for preschoolers</x:v>
      </x:c>
      <x:c r="AE1055" s="9" t="str">
        <x:v>Score</x:v>
      </x:c>
      <x:c r="AF1055" s="9" t="str">
        <x:v>One of the preschool lesson discs that made up most of the console's 1995–96 output.</x:v>
      </x:c>
      <x:c r="AG1055" s="9" t="str">
        <x:v>Single release</x:v>
      </x:c>
      <x:c r="AH1055" s="9" t="str">
        <x:v>No</x:v>
      </x:c>
      <x:c r="AI1055" s="9" t="str">
        <x:v>Import</x:v>
      </x:c>
      <x:c r="AJ1055" s="9" t="str">
        <x:v>Original disc on an imported Playdia (NTSC-J, no region lock beyond the hardware); MAME's Playdia driver is preliminary (verify)</x:v>
      </x:c>
      <x:c r="AK1055" s="9" t="str">
        <x:v>Facts inferred from the title and the console's format.</x:v>
      </x:c>
      <x:c r="AL1055" s="10"/>
      <x:c r="AM1055" s="10"/>
      <x:c r="AN1055" s="10"/>
      <x:c r="AO1055" s="9"/>
      <x:c r="AP1055" s="11" t="str">
        <x:f>HYPERLINK("https://www.pricecharting.com/search-products?q=Bish%C5%8Djo+Senshi+Sailor+Moon+SuperS%3A+Sailor+Moon+to+Hiragana+Lesson%21+playdia&amp;type=prices","PriceCharting")</x:f>
        <x:v>PriceCharting</x:v>
      </x:c>
      <x:c r="AQ1055" s="9"/>
      <x:c r="AR1055" s="9"/>
      <x:c r="AS1055" s="9"/>
      <x:c r="AT1055" s="9"/>
      <x:c r="AU1055" s="9"/>
      <x:c r="AV1055" s="9"/>
      <x:c r="AW1055" s="9"/>
      <x:c r="AX1055" s="9"/>
      <x:c r="AY1055" s="9"/>
      <x:c r="AZ1055" s="9"/>
      <x:c r="BA1055" s="11" t="str">
        <x:f>HYPERLINK("https://www.mobygames.com/search/?q=Bish%C5%8Djo+Senshi+Sailor+Moon+SuperS%3A+Sailor+Moon+to+Hiragana+Lesson%21","MobyGames")</x:f>
        <x:v>MobyGames</x:v>
      </x:c>
      <x:c r="BB1055" s="9" t="str"/>
      <x:c r="BC1055" s="9" t="str"/>
      <x:c r="BD1055" s="9"/>
      <x:c r="BE1055" s="9"/>
      <x:c r="BF1055" s="11" t="str">
        <x:f>HYPERLINK("https://backloggd.com/search/games/Bish%C5%8Djo%20Senshi%20Sailor%20Moon%20SuperS%3A%20Sailor%20Moon%20to%20Hiragana%20Lesson%21/","Backloggd")</x:f>
        <x:v>Backloggd</x:v>
      </x:c>
      <x:c r="BG1055" s="9"/>
      <x:c r="BH1055" s="9"/>
      <x:c r="BI1055" s="12" t="str">
        <x:v>No</x:v>
      </x:c>
      <x:c r="BJ1055" s="12" t="str"/>
      <x:c r="BK1055" s="12" t="str">
        <x:v>No</x:v>
      </x:c>
      <x:c r="BL1055" s="12" t="str"/>
      <x:c r="BM1055" s="12" t="str"/>
      <x:c r="BN1055" s="12" t="str"/>
      <x:c r="BO1055" s="12" t="str"/>
      <x:c r="BP1055" s="12" t="str"/>
      <x:c r="BQ1055" s="12" t="str"/>
    </x:row>
    <x:row r="1056">
      <x:c r="A1056" s="9" t="str">
        <x:v>playdia-22</x:v>
      </x:c>
      <x:c r="B1056" s="9" t="str">
        <x:v>ultraman-hiragana-dai-sakusen</x:v>
      </x:c>
      <x:c r="C1056" s="9" t="str">
        <x:v>Bandai Playdia</x:v>
      </x:c>
      <x:c r="D1056" s="9" t="str">
        <x:v>Ultraman: Hiragana Dai Sakusen</x:v>
      </x:c>
      <x:c r="E1056" s="9" t="str">
        <x:v>Ultraman: Hiragana Mission (BAPD-22)</x:v>
      </x:c>
      <x:c r="F1056" s="9" t="str">
        <x:v>Bandai (verify)</x:v>
      </x:c>
      <x:c r="G1056" s="9" t="str">
        <x:v>Bandai</x:v>
      </x:c>
      <x:c r="H1056" s="9" t="n">
        <x:v>1995</x:v>
      </x:c>
      <x:c r="I1056" s="9" t="str">
        <x:v>No</x:v>
      </x:c>
      <x:c r="J1056" s="9" t="str">
        <x:v>Yes</x:v>
      </x:c>
      <x:c r="K1056" s="9" t="str">
        <x:v>No</x:v>
      </x:c>
      <x:c r="L1056" s="9" t="str">
        <x:v>No</x:v>
      </x:c>
      <x:c r="M1056" s="9" t="str">
        <x:v>Children's lesson disc</x:v>
      </x:c>
      <x:c r="N1056" s="9" t="str">
        <x:v>Animated</x:v>
      </x:c>
      <x:c r="O1056" s="9" t="n">
        <x:v>9</x:v>
      </x:c>
      <x:c r="P1056" s="9" t="str">
        <x:v>Game show / trivia</x:v>
      </x:c>
      <x:c r="Q1056" s="9" t="str">
        <x:v>Released</x:v>
      </x:c>
      <x:c r="R1056" s="9" t="str">
        <x:v>Licensed Tsuburaya Ultraman footage</x:v>
      </x:c>
      <x:c r="S1056" s="9" t="str">
        <x:v>None</x:v>
      </x:c>
      <x:c r="T1056" s="9" t="str">
        <x:v>The Ultraman voice cast</x:v>
      </x:c>
      <x:c r="U1056" s="9" t="n">
        <x:v>1</x:v>
      </x:c>
      <x:c r="V1056" s="9" t="str">
        <x:v>No</x:v>
      </x:c>
      <x:c r="W1056" s="9" t="str">
        <x:v>Playdia (BA-001) with its infrared pad; the system has no save memory (verify)</x:v>
      </x:c>
      <x:c r="X1056" s="9" t="str">
        <x:v>Med</x:v>
      </x:c>
      <x:c r="Y1056" s="9" t="str">
        <x:v>Ultraman footage</x:v>
      </x:c>
      <x:c r="Z1056" s="9" t="str">
        <x:v>30 min</x:v>
      </x:c>
      <x:c r="AA1056" s="9" t="str">
        <x:v>Ultraman teaches hiragana: a clip, a question, a cheer or a groan.</x:v>
      </x:c>
      <x:c r="AB1056" s="9" t="str">
        <x:v>None known</x:v>
      </x:c>
      <x:c r="AC1056" s="9" t="str">
        <x:v>Children's lesson disc: short anime clips, then a question answered on the pad</x:v>
      </x:c>
      <x:c r="AD1056" s="9" t="str">
        <x:v>Easy; for preschoolers</x:v>
      </x:c>
      <x:c r="AE1056" s="9" t="str">
        <x:v>Score</x:v>
      </x:c>
      <x:c r="AF1056" s="9" t="str">
        <x:v>One of the preschool lesson discs that made up most of the console's 1995–96 output.</x:v>
      </x:c>
      <x:c r="AG1056" s="9" t="str">
        <x:v>Single release</x:v>
      </x:c>
      <x:c r="AH1056" s="9" t="str">
        <x:v>No</x:v>
      </x:c>
      <x:c r="AI1056" s="9" t="str">
        <x:v>Import</x:v>
      </x:c>
      <x:c r="AJ1056" s="9" t="str">
        <x:v>Original disc on an imported Playdia (NTSC-J, no region lock beyond the hardware); MAME's Playdia driver is preliminary (verify)</x:v>
      </x:c>
      <x:c r="AK1056" s="9" t="str">
        <x:v>Facts inferred from the title and the console's format.</x:v>
      </x:c>
      <x:c r="AL1056" s="10"/>
      <x:c r="AM1056" s="10"/>
      <x:c r="AN1056" s="10"/>
      <x:c r="AO1056" s="9"/>
      <x:c r="AP1056" s="11" t="str">
        <x:f>HYPERLINK("https://www.pricecharting.com/search-products?q=Ultraman%3A+Hiragana+Dai+Sakusen+playdia&amp;type=prices","PriceCharting")</x:f>
        <x:v>PriceCharting</x:v>
      </x:c>
      <x:c r="AQ1056" s="9"/>
      <x:c r="AR1056" s="9"/>
      <x:c r="AS1056" s="9"/>
      <x:c r="AT1056" s="9"/>
      <x:c r="AU1056" s="9"/>
      <x:c r="AV1056" s="9"/>
      <x:c r="AW1056" s="9"/>
      <x:c r="AX1056" s="9"/>
      <x:c r="AY1056" s="9"/>
      <x:c r="AZ1056" s="9"/>
      <x:c r="BA1056" s="11" t="str">
        <x:f>HYPERLINK("https://www.mobygames.com/search/?q=Ultraman%3A+Hiragana+Dai+Sakusen","MobyGames")</x:f>
        <x:v>MobyGames</x:v>
      </x:c>
      <x:c r="BB1056" s="9" t="str"/>
      <x:c r="BC1056" s="9" t="str"/>
      <x:c r="BD1056" s="9"/>
      <x:c r="BE1056" s="9"/>
      <x:c r="BF1056" s="11" t="str">
        <x:f>HYPERLINK("https://backloggd.com/search/games/Ultraman%3A%20Hiragana%20Dai%20Sakusen/","Backloggd")</x:f>
        <x:v>Backloggd</x:v>
      </x:c>
      <x:c r="BG1056" s="9"/>
      <x:c r="BH1056" s="9"/>
      <x:c r="BI1056" s="12" t="str">
        <x:v>No</x:v>
      </x:c>
      <x:c r="BJ1056" s="12" t="str"/>
      <x:c r="BK1056" s="12" t="str">
        <x:v>No</x:v>
      </x:c>
      <x:c r="BL1056" s="12" t="str"/>
      <x:c r="BM1056" s="12" t="str"/>
      <x:c r="BN1056" s="12" t="str"/>
      <x:c r="BO1056" s="12" t="str"/>
      <x:c r="BP1056" s="12" t="str"/>
      <x:c r="BQ1056" s="12" t="str"/>
    </x:row>
    <x:row r="1057">
      <x:c r="A1057" s="9" t="str">
        <x:v>playdia-23</x:v>
      </x:c>
      <x:c r="B1057" s="9" t="str">
        <x:v>ultraman-alphabet-tv-e-yokoso</x:v>
      </x:c>
      <x:c r="C1057" s="9" t="str">
        <x:v>Bandai Playdia</x:v>
      </x:c>
      <x:c r="D1057" s="9" t="str">
        <x:v>Ultraman: Alphabet TV e Yōkoso</x:v>
      </x:c>
      <x:c r="E1057" s="9" t="str">
        <x:v>Ultraman: Welcome to Alphabet TV (BAPD-23)</x:v>
      </x:c>
      <x:c r="F1057" s="9" t="str">
        <x:v>Bandai (verify)</x:v>
      </x:c>
      <x:c r="G1057" s="9" t="str">
        <x:v>Bandai</x:v>
      </x:c>
      <x:c r="H1057" s="9" t="n">
        <x:v>1995</x:v>
      </x:c>
      <x:c r="I1057" s="9" t="str">
        <x:v>No</x:v>
      </x:c>
      <x:c r="J1057" s="9" t="str">
        <x:v>Yes</x:v>
      </x:c>
      <x:c r="K1057" s="9" t="str">
        <x:v>No</x:v>
      </x:c>
      <x:c r="L1057" s="9" t="str">
        <x:v>No</x:v>
      </x:c>
      <x:c r="M1057" s="9" t="str">
        <x:v>Children's lesson disc</x:v>
      </x:c>
      <x:c r="N1057" s="9" t="str">
        <x:v>Animated</x:v>
      </x:c>
      <x:c r="O1057" s="9" t="n">
        <x:v>9</x:v>
      </x:c>
      <x:c r="P1057" s="9" t="str">
        <x:v>Game show / trivia</x:v>
      </x:c>
      <x:c r="Q1057" s="9" t="str">
        <x:v>Released</x:v>
      </x:c>
      <x:c r="R1057" s="9" t="str">
        <x:v>Licensed Tsuburaya Ultraman footage</x:v>
      </x:c>
      <x:c r="S1057" s="9" t="str">
        <x:v>None</x:v>
      </x:c>
      <x:c r="T1057" s="9" t="str">
        <x:v>The Ultraman voice cast</x:v>
      </x:c>
      <x:c r="U1057" s="9" t="n">
        <x:v>1</x:v>
      </x:c>
      <x:c r="V1057" s="9" t="str">
        <x:v>No</x:v>
      </x:c>
      <x:c r="W1057" s="9" t="str">
        <x:v>Playdia (BA-001) with its infrared pad; the system has no save memory (verify)</x:v>
      </x:c>
      <x:c r="X1057" s="9" t="str">
        <x:v>Med</x:v>
      </x:c>
      <x:c r="Y1057" s="9" t="str">
        <x:v>Ultraman footage</x:v>
      </x:c>
      <x:c r="Z1057" s="9" t="str">
        <x:v>30 min</x:v>
      </x:c>
      <x:c r="AA1057" s="9" t="str">
        <x:v>Ultraman teaches the alphabet: a clip, a question, a cheer or a groan.</x:v>
      </x:c>
      <x:c r="AB1057" s="9" t="str">
        <x:v>None known</x:v>
      </x:c>
      <x:c r="AC1057" s="9" t="str">
        <x:v>Children's lesson disc: short anime clips, then a question answered on the pad</x:v>
      </x:c>
      <x:c r="AD1057" s="9" t="str">
        <x:v>Easy; for preschoolers</x:v>
      </x:c>
      <x:c r="AE1057" s="9" t="str">
        <x:v>Score</x:v>
      </x:c>
      <x:c r="AF1057" s="9" t="str">
        <x:v>One of the preschool lesson discs that made up most of the console's 1995–96 output.</x:v>
      </x:c>
      <x:c r="AG1057" s="9" t="str">
        <x:v>Single release</x:v>
      </x:c>
      <x:c r="AH1057" s="9" t="str">
        <x:v>No</x:v>
      </x:c>
      <x:c r="AI1057" s="9" t="str">
        <x:v>Import</x:v>
      </x:c>
      <x:c r="AJ1057" s="9" t="str">
        <x:v>Original disc on an imported Playdia (NTSC-J, no region lock beyond the hardware); MAME's Playdia driver is preliminary (verify)</x:v>
      </x:c>
      <x:c r="AK1057" s="9" t="str">
        <x:v>Facts inferred from the title and the console's format.</x:v>
      </x:c>
      <x:c r="AL1057" s="10"/>
      <x:c r="AM1057" s="10"/>
      <x:c r="AN1057" s="10"/>
      <x:c r="AO1057" s="9"/>
      <x:c r="AP1057" s="11" t="str">
        <x:f>HYPERLINK("https://www.pricecharting.com/search-products?q=Ultraman%3A+Alphabet+TV+e+Y%C5%8Dkoso+playdia&amp;type=prices","PriceCharting")</x:f>
        <x:v>PriceCharting</x:v>
      </x:c>
      <x:c r="AQ1057" s="9"/>
      <x:c r="AR1057" s="9"/>
      <x:c r="AS1057" s="9"/>
      <x:c r="AT1057" s="9"/>
      <x:c r="AU1057" s="9"/>
      <x:c r="AV1057" s="9"/>
      <x:c r="AW1057" s="9"/>
      <x:c r="AX1057" s="9"/>
      <x:c r="AY1057" s="9"/>
      <x:c r="AZ1057" s="9"/>
      <x:c r="BA1057" s="11" t="str">
        <x:f>HYPERLINK("https://www.mobygames.com/search/?q=Ultraman%3A+Alphabet+TV+e+Y%C5%8Dkoso","MobyGames")</x:f>
        <x:v>MobyGames</x:v>
      </x:c>
      <x:c r="BB1057" s="9" t="str"/>
      <x:c r="BC1057" s="9" t="str"/>
      <x:c r="BD1057" s="9"/>
      <x:c r="BE1057" s="9"/>
      <x:c r="BF1057" s="11" t="str">
        <x:f>HYPERLINK("https://backloggd.com/search/games/Ultraman%3A%20Alphabet%20TV%20e%20Y%C5%8Dkoso/","Backloggd")</x:f>
        <x:v>Backloggd</x:v>
      </x:c>
      <x:c r="BG1057" s="9"/>
      <x:c r="BH1057" s="9"/>
      <x:c r="BI1057" s="12" t="str">
        <x:v>No</x:v>
      </x:c>
      <x:c r="BJ1057" s="12" t="str"/>
      <x:c r="BK1057" s="12" t="str">
        <x:v>No</x:v>
      </x:c>
      <x:c r="BL1057" s="12" t="str"/>
      <x:c r="BM1057" s="12" t="str"/>
      <x:c r="BN1057" s="12" t="str"/>
      <x:c r="BO1057" s="12" t="str"/>
      <x:c r="BP1057" s="12" t="str"/>
      <x:c r="BQ1057" s="12" t="str"/>
    </x:row>
    <x:row r="1058">
      <x:c r="A1058" s="9" t="str">
        <x:v>playdia-24</x:v>
      </x:c>
      <x:c r="B1058" s="9" t="str">
        <x:v>sailor-moon-supers-hajimete-no-eigo</x:v>
      </x:c>
      <x:c r="C1058" s="9" t="str">
        <x:v>Bandai Playdia</x:v>
      </x:c>
      <x:c r="D1058" s="9" t="str">
        <x:v>Bishōjo Senshi Sailor Moon SuperS: Sailor Moon to Hajimete no Eigo</x:v>
      </x:c>
      <x:c r="E1058" s="9" t="str">
        <x:v>Sailor Moon's First English (BAPD-24)</x:v>
      </x:c>
      <x:c r="F1058" s="9" t="str">
        <x:v>Bandai (verify)</x:v>
      </x:c>
      <x:c r="G1058" s="9" t="str">
        <x:v>Bandai</x:v>
      </x:c>
      <x:c r="H1058" s="9" t="n">
        <x:v>1995</x:v>
      </x:c>
      <x:c r="I1058" s="9" t="str">
        <x:v>No</x:v>
      </x:c>
      <x:c r="J1058" s="9" t="str">
        <x:v>Yes</x:v>
      </x:c>
      <x:c r="K1058" s="9" t="str">
        <x:v>No</x:v>
      </x:c>
      <x:c r="L1058" s="9" t="str">
        <x:v>No</x:v>
      </x:c>
      <x:c r="M1058" s="9" t="str">
        <x:v>Children's lesson disc</x:v>
      </x:c>
      <x:c r="N1058" s="9" t="str">
        <x:v>Animated</x:v>
      </x:c>
      <x:c r="O1058" s="9" t="n">
        <x:v>9</x:v>
      </x:c>
      <x:c r="P1058" s="9" t="str">
        <x:v>Game show / trivia</x:v>
      </x:c>
      <x:c r="Q1058" s="9" t="str">
        <x:v>Released</x:v>
      </x:c>
      <x:c r="R1058" s="9" t="str">
        <x:v>Licensed Toei Sailor Moon SuperS footage</x:v>
      </x:c>
      <x:c r="S1058" s="9" t="str">
        <x:v>None</x:v>
      </x:c>
      <x:c r="T1058" s="9" t="str">
        <x:v>The Sailor Moon SuperS voice cast</x:v>
      </x:c>
      <x:c r="U1058" s="9" t="n">
        <x:v>1</x:v>
      </x:c>
      <x:c r="V1058" s="9" t="str">
        <x:v>No</x:v>
      </x:c>
      <x:c r="W1058" s="9" t="str">
        <x:v>Playdia (BA-001) with its infrared pad; the system has no save memory (verify)</x:v>
      </x:c>
      <x:c r="X1058" s="9" t="str">
        <x:v>Med</x:v>
      </x:c>
      <x:c r="Y1058" s="9" t="str">
        <x:v>Sailor Moon SuperS footage</x:v>
      </x:c>
      <x:c r="Z1058" s="9" t="str">
        <x:v>30 min</x:v>
      </x:c>
      <x:c r="AA1058" s="9" t="str">
        <x:v>Sailor Moon SuperS teaches first English words: a clip, a question, a cheer or a groan.</x:v>
      </x:c>
      <x:c r="AB1058" s="9" t="str">
        <x:v>None known</x:v>
      </x:c>
      <x:c r="AC1058" s="9" t="str">
        <x:v>Children's lesson disc: short anime clips, then a question answered on the pad</x:v>
      </x:c>
      <x:c r="AD1058" s="9" t="str">
        <x:v>Easy; for preschoolers</x:v>
      </x:c>
      <x:c r="AE1058" s="9" t="str">
        <x:v>Score</x:v>
      </x:c>
      <x:c r="AF1058" s="9" t="str">
        <x:v>One of the preschool lesson discs that made up most of the console's 1995–96 output.</x:v>
      </x:c>
      <x:c r="AG1058" s="9" t="str">
        <x:v>Single release</x:v>
      </x:c>
      <x:c r="AH1058" s="9" t="str">
        <x:v>No</x:v>
      </x:c>
      <x:c r="AI1058" s="9" t="str">
        <x:v>Import</x:v>
      </x:c>
      <x:c r="AJ1058" s="9" t="str">
        <x:v>Original disc on an imported Playdia (NTSC-J, no region lock beyond the hardware); MAME's Playdia driver is preliminary (verify)</x:v>
      </x:c>
      <x:c r="AK1058" s="9" t="str">
        <x:v>Facts inferred from the title and the console's format.</x:v>
      </x:c>
      <x:c r="AL1058" s="10"/>
      <x:c r="AM1058" s="10"/>
      <x:c r="AN1058" s="10"/>
      <x:c r="AO1058" s="9"/>
      <x:c r="AP1058" s="11" t="str">
        <x:f>HYPERLINK("https://www.pricecharting.com/search-products?q=Bish%C5%8Djo+Senshi+Sailor+Moon+SuperS%3A+Sailor+Moon+to+Hajimete+no+Eigo+playdia&amp;type=prices","PriceCharting")</x:f>
        <x:v>PriceCharting</x:v>
      </x:c>
      <x:c r="AQ1058" s="9"/>
      <x:c r="AR1058" s="9"/>
      <x:c r="AS1058" s="9"/>
      <x:c r="AT1058" s="9"/>
      <x:c r="AU1058" s="9"/>
      <x:c r="AV1058" s="9"/>
      <x:c r="AW1058" s="9"/>
      <x:c r="AX1058" s="9"/>
      <x:c r="AY1058" s="9"/>
      <x:c r="AZ1058" s="9"/>
      <x:c r="BA1058" s="11" t="str">
        <x:f>HYPERLINK("https://www.mobygames.com/search/?q=Bish%C5%8Djo+Senshi+Sailor+Moon+SuperS%3A+Sailor+Moon+to+Hajimete+no+Eigo","MobyGames")</x:f>
        <x:v>MobyGames</x:v>
      </x:c>
      <x:c r="BB1058" s="9" t="str"/>
      <x:c r="BC1058" s="9" t="str"/>
      <x:c r="BD1058" s="9"/>
      <x:c r="BE1058" s="9"/>
      <x:c r="BF1058" s="11" t="str">
        <x:f>HYPERLINK("https://backloggd.com/search/games/Bish%C5%8Djo%20Senshi%20Sailor%20Moon%20SuperS%3A%20Sailor%20Moon%20to%20Hajimete%20no%20Eigo/","Backloggd")</x:f>
        <x:v>Backloggd</x:v>
      </x:c>
      <x:c r="BG1058" s="9"/>
      <x:c r="BH1058" s="9"/>
      <x:c r="BI1058" s="12" t="str">
        <x:v>No</x:v>
      </x:c>
      <x:c r="BJ1058" s="12" t="str"/>
      <x:c r="BK1058" s="12" t="str">
        <x:v>No</x:v>
      </x:c>
      <x:c r="BL1058" s="12" t="str"/>
      <x:c r="BM1058" s="12" t="str"/>
      <x:c r="BN1058" s="12" t="str"/>
      <x:c r="BO1058" s="12" t="str"/>
      <x:c r="BP1058" s="12" t="str"/>
      <x:c r="BQ1058" s="12" t="str"/>
    </x:row>
    <x:row r="1059">
      <x:c r="A1059" s="9" t="str">
        <x:v>playdia-25</x:v>
      </x:c>
      <x:c r="B1059" s="9" t="str">
        <x:v>sailor-moon-supers-yokoso-sailor-yochien</x:v>
      </x:c>
      <x:c r="C1059" s="9" t="str">
        <x:v>Bandai Playdia</x:v>
      </x:c>
      <x:c r="D1059" s="9" t="str">
        <x:v>Bishōjo Senshi Sailor Moon SuperS: Yōkoso! Sailor Yōchien</x:v>
      </x:c>
      <x:c r="E1059" s="9" t="str">
        <x:v>Welcome to Sailor Kindergarten (BAPD-25)</x:v>
      </x:c>
      <x:c r="F1059" s="9" t="str">
        <x:v>Bandai (verify)</x:v>
      </x:c>
      <x:c r="G1059" s="9" t="str">
        <x:v>Bandai</x:v>
      </x:c>
      <x:c r="H1059" s="9" t="n">
        <x:v>1995</x:v>
      </x:c>
      <x:c r="I1059" s="9" t="str">
        <x:v>No</x:v>
      </x:c>
      <x:c r="J1059" s="9" t="str">
        <x:v>Yes</x:v>
      </x:c>
      <x:c r="K1059" s="9" t="str">
        <x:v>No</x:v>
      </x:c>
      <x:c r="L1059" s="9" t="str">
        <x:v>No</x:v>
      </x:c>
      <x:c r="M1059" s="9" t="str">
        <x:v>Children's lesson disc</x:v>
      </x:c>
      <x:c r="N1059" s="9" t="str">
        <x:v>Animated</x:v>
      </x:c>
      <x:c r="O1059" s="9" t="n">
        <x:v>9</x:v>
      </x:c>
      <x:c r="P1059" s="9" t="str">
        <x:v>Game show / trivia</x:v>
      </x:c>
      <x:c r="Q1059" s="9" t="str">
        <x:v>Released</x:v>
      </x:c>
      <x:c r="R1059" s="9" t="str">
        <x:v>Licensed Toei Sailor Moon SuperS footage</x:v>
      </x:c>
      <x:c r="S1059" s="9" t="str">
        <x:v>None</x:v>
      </x:c>
      <x:c r="T1059" s="9" t="str">
        <x:v>The Sailor Moon SuperS voice cast</x:v>
      </x:c>
      <x:c r="U1059" s="9" t="n">
        <x:v>1</x:v>
      </x:c>
      <x:c r="V1059" s="9" t="str">
        <x:v>No</x:v>
      </x:c>
      <x:c r="W1059" s="9" t="str">
        <x:v>Playdia (BA-001) with its infrared pad; the system has no save memory (verify)</x:v>
      </x:c>
      <x:c r="X1059" s="9" t="str">
        <x:v>Med</x:v>
      </x:c>
      <x:c r="Y1059" s="9" t="str">
        <x:v>Sailor Moon SuperS footage</x:v>
      </x:c>
      <x:c r="Z1059" s="9" t="str">
        <x:v>30 min</x:v>
      </x:c>
      <x:c r="AA1059" s="9" t="str">
        <x:v>Sailor Moon SuperS teaches kindergarten lessons: a clip, a question, a cheer or a groan.</x:v>
      </x:c>
      <x:c r="AB1059" s="9" t="str">
        <x:v>None known</x:v>
      </x:c>
      <x:c r="AC1059" s="9" t="str">
        <x:v>Children's lesson disc: short anime clips, then a question answered on the pad</x:v>
      </x:c>
      <x:c r="AD1059" s="9" t="str">
        <x:v>Easy; for preschoolers</x:v>
      </x:c>
      <x:c r="AE1059" s="9" t="str">
        <x:v>Score</x:v>
      </x:c>
      <x:c r="AF1059" s="9" t="str">
        <x:v>One of the preschool lesson discs that made up most of the console's 1995–96 output.</x:v>
      </x:c>
      <x:c r="AG1059" s="9" t="str">
        <x:v>Single release</x:v>
      </x:c>
      <x:c r="AH1059" s="9" t="str">
        <x:v>No</x:v>
      </x:c>
      <x:c r="AI1059" s="9" t="str">
        <x:v>Import</x:v>
      </x:c>
      <x:c r="AJ1059" s="9" t="str">
        <x:v>Original disc on an imported Playdia (NTSC-J, no region lock beyond the hardware); MAME's Playdia driver is preliminary (verify)</x:v>
      </x:c>
      <x:c r="AK1059" s="9" t="str">
        <x:v>Facts inferred from the title and the console's format.</x:v>
      </x:c>
      <x:c r="AL1059" s="10"/>
      <x:c r="AM1059" s="10"/>
      <x:c r="AN1059" s="10"/>
      <x:c r="AO1059" s="9"/>
      <x:c r="AP1059" s="11" t="str">
        <x:f>HYPERLINK("https://www.pricecharting.com/search-products?q=Bish%C5%8Djo+Senshi+Sailor+Moon+SuperS%3A+Y%C5%8Dkoso%21+Sailor+Y%C5%8Dchien+playdia&amp;type=prices","PriceCharting")</x:f>
        <x:v>PriceCharting</x:v>
      </x:c>
      <x:c r="AQ1059" s="9"/>
      <x:c r="AR1059" s="9"/>
      <x:c r="AS1059" s="9"/>
      <x:c r="AT1059" s="9"/>
      <x:c r="AU1059" s="9"/>
      <x:c r="AV1059" s="9"/>
      <x:c r="AW1059" s="9"/>
      <x:c r="AX1059" s="9"/>
      <x:c r="AY1059" s="9"/>
      <x:c r="AZ1059" s="9"/>
      <x:c r="BA1059" s="11" t="str">
        <x:f>HYPERLINK("https://www.mobygames.com/search/?q=Bish%C5%8Djo+Senshi+Sailor+Moon+SuperS%3A+Y%C5%8Dkoso%21+Sailor+Y%C5%8Dchien","MobyGames")</x:f>
        <x:v>MobyGames</x:v>
      </x:c>
      <x:c r="BB1059" s="9" t="str"/>
      <x:c r="BC1059" s="9" t="str"/>
      <x:c r="BD1059" s="9"/>
      <x:c r="BE1059" s="9"/>
      <x:c r="BF1059" s="11" t="str">
        <x:f>HYPERLINK("https://backloggd.com/search/games/Bish%C5%8Djo%20Senshi%20Sailor%20Moon%20SuperS%3A%20Y%C5%8Dkoso%21%20Sailor%20Y%C5%8Dchien/","Backloggd")</x:f>
        <x:v>Backloggd</x:v>
      </x:c>
      <x:c r="BG1059" s="9"/>
      <x:c r="BH1059" s="9"/>
      <x:c r="BI1059" s="12" t="str">
        <x:v>No</x:v>
      </x:c>
      <x:c r="BJ1059" s="12" t="str"/>
      <x:c r="BK1059" s="12" t="str">
        <x:v>No</x:v>
      </x:c>
      <x:c r="BL1059" s="12" t="str"/>
      <x:c r="BM1059" s="12" t="str"/>
      <x:c r="BN1059" s="12" t="str"/>
      <x:c r="BO1059" s="12" t="str"/>
      <x:c r="BP1059" s="12" t="str"/>
      <x:c r="BQ1059" s="12" t="str"/>
    </x:row>
    <x:row r="1060">
      <x:c r="A1060" s="9" t="str">
        <x:v>playdia-26</x:v>
      </x:c>
      <x:c r="B1060" s="9" t="str">
        <x:v>ultraman-oide-yo-ultra-yochien</x:v>
      </x:c>
      <x:c r="C1060" s="9" t="str">
        <x:v>Bandai Playdia</x:v>
      </x:c>
      <x:c r="D1060" s="9" t="str">
        <x:v>Ultraman: Oide yo! Ultra Yōchien</x:v>
      </x:c>
      <x:c r="E1060" s="9" t="str">
        <x:v>Ultraman: Come to Ultra Kindergarten! (BAPD-26)</x:v>
      </x:c>
      <x:c r="F1060" s="9" t="str">
        <x:v>Bandai (verify)</x:v>
      </x:c>
      <x:c r="G1060" s="9" t="str">
        <x:v>Bandai</x:v>
      </x:c>
      <x:c r="H1060" s="9" t="n">
        <x:v>1995</x:v>
      </x:c>
      <x:c r="I1060" s="9" t="str">
        <x:v>No</x:v>
      </x:c>
      <x:c r="J1060" s="9" t="str">
        <x:v>Yes</x:v>
      </x:c>
      <x:c r="K1060" s="9" t="str">
        <x:v>No</x:v>
      </x:c>
      <x:c r="L1060" s="9" t="str">
        <x:v>No</x:v>
      </x:c>
      <x:c r="M1060" s="9" t="str">
        <x:v>Children's lesson disc</x:v>
      </x:c>
      <x:c r="N1060" s="9" t="str">
        <x:v>Animated</x:v>
      </x:c>
      <x:c r="O1060" s="9" t="n">
        <x:v>9</x:v>
      </x:c>
      <x:c r="P1060" s="9" t="str">
        <x:v>Game show / trivia</x:v>
      </x:c>
      <x:c r="Q1060" s="9" t="str">
        <x:v>Released</x:v>
      </x:c>
      <x:c r="R1060" s="9" t="str">
        <x:v>Licensed Tsuburaya Ultraman footage</x:v>
      </x:c>
      <x:c r="S1060" s="9" t="str">
        <x:v>None</x:v>
      </x:c>
      <x:c r="T1060" s="9" t="str">
        <x:v>The Ultraman voice cast</x:v>
      </x:c>
      <x:c r="U1060" s="9" t="n">
        <x:v>1</x:v>
      </x:c>
      <x:c r="V1060" s="9" t="str">
        <x:v>No</x:v>
      </x:c>
      <x:c r="W1060" s="9" t="str">
        <x:v>Playdia (BA-001) with its infrared pad; the system has no save memory (verify)</x:v>
      </x:c>
      <x:c r="X1060" s="9" t="str">
        <x:v>Med</x:v>
      </x:c>
      <x:c r="Y1060" s="9" t="str">
        <x:v>Ultraman footage</x:v>
      </x:c>
      <x:c r="Z1060" s="9" t="str">
        <x:v>30 min</x:v>
      </x:c>
      <x:c r="AA1060" s="9" t="str">
        <x:v>Ultraman teaches kindergarten lessons: a clip, a question, a cheer or a groan.</x:v>
      </x:c>
      <x:c r="AB1060" s="9" t="str">
        <x:v>None known</x:v>
      </x:c>
      <x:c r="AC1060" s="9" t="str">
        <x:v>Children's lesson disc: short anime clips, then a question answered on the pad</x:v>
      </x:c>
      <x:c r="AD1060" s="9" t="str">
        <x:v>Easy; for preschoolers</x:v>
      </x:c>
      <x:c r="AE1060" s="9" t="str">
        <x:v>Score</x:v>
      </x:c>
      <x:c r="AF1060" s="9" t="str">
        <x:v>One of the preschool lesson discs that made up most of the console's 1995–96 output.</x:v>
      </x:c>
      <x:c r="AG1060" s="9" t="str">
        <x:v>Single release</x:v>
      </x:c>
      <x:c r="AH1060" s="9" t="str">
        <x:v>No</x:v>
      </x:c>
      <x:c r="AI1060" s="9" t="str">
        <x:v>Import</x:v>
      </x:c>
      <x:c r="AJ1060" s="9" t="str">
        <x:v>Original disc on an imported Playdia (NTSC-J, no region lock beyond the hardware); MAME's Playdia driver is preliminary (verify)</x:v>
      </x:c>
      <x:c r="AK1060" s="9" t="str">
        <x:v>Facts inferred from the title and the console's format.</x:v>
      </x:c>
      <x:c r="AL1060" s="10"/>
      <x:c r="AM1060" s="10"/>
      <x:c r="AN1060" s="10"/>
      <x:c r="AO1060" s="9"/>
      <x:c r="AP1060" s="11" t="str">
        <x:f>HYPERLINK("https://www.pricecharting.com/search-products?q=Ultraman%3A+Oide+yo%21+Ultra+Y%C5%8Dchien+playdia&amp;type=prices","PriceCharting")</x:f>
        <x:v>PriceCharting</x:v>
      </x:c>
      <x:c r="AQ1060" s="9"/>
      <x:c r="AR1060" s="9"/>
      <x:c r="AS1060" s="9"/>
      <x:c r="AT1060" s="9"/>
      <x:c r="AU1060" s="9"/>
      <x:c r="AV1060" s="9"/>
      <x:c r="AW1060" s="9"/>
      <x:c r="AX1060" s="9"/>
      <x:c r="AY1060" s="9"/>
      <x:c r="AZ1060" s="9"/>
      <x:c r="BA1060" s="11" t="str">
        <x:f>HYPERLINK("https://www.mobygames.com/search/?q=Ultraman%3A+Oide+yo%21+Ultra+Y%C5%8Dchien","MobyGames")</x:f>
        <x:v>MobyGames</x:v>
      </x:c>
      <x:c r="BB1060" s="9" t="str"/>
      <x:c r="BC1060" s="9" t="str"/>
      <x:c r="BD1060" s="9"/>
      <x:c r="BE1060" s="9"/>
      <x:c r="BF1060" s="11" t="str">
        <x:f>HYPERLINK("https://backloggd.com/search/games/Ultraman%3A%20Oide%20yo%21%20Ultra%20Y%C5%8Dchien/","Backloggd")</x:f>
        <x:v>Backloggd</x:v>
      </x:c>
      <x:c r="BG1060" s="9"/>
      <x:c r="BH1060" s="9"/>
      <x:c r="BI1060" s="12" t="str">
        <x:v>No</x:v>
      </x:c>
      <x:c r="BJ1060" s="12" t="str"/>
      <x:c r="BK1060" s="12" t="str">
        <x:v>No</x:v>
      </x:c>
      <x:c r="BL1060" s="12" t="str"/>
      <x:c r="BM1060" s="12" t="str"/>
      <x:c r="BN1060" s="12" t="str"/>
      <x:c r="BO1060" s="12" t="str"/>
      <x:c r="BP1060" s="12" t="str"/>
      <x:c r="BQ1060" s="12" t="str"/>
    </x:row>
    <x:row r="1061">
      <x:c r="A1061" s="9" t="str">
        <x:v>playdia-27</x:v>
      </x:c>
      <x:c r="B1061" s="9" t="str">
        <x:v>soreike-anpanman-picnic-de-obenkyo</x:v>
      </x:c>
      <x:c r="C1061" s="9" t="str">
        <x:v>Bandai Playdia</x:v>
      </x:c>
      <x:c r="D1061" s="9" t="str">
        <x:v>Soreike! Anpanman: Picnic de Obenkyō</x:v>
      </x:c>
      <x:c r="E1061" s="9" t="str">
        <x:v>Anpanman: Study at the Picnic (BAPD-27)</x:v>
      </x:c>
      <x:c r="F1061" s="9" t="str">
        <x:v>Bandai (verify)</x:v>
      </x:c>
      <x:c r="G1061" s="9" t="str">
        <x:v>Bandai</x:v>
      </x:c>
      <x:c r="H1061" s="9" t="n">
        <x:v>1995</x:v>
      </x:c>
      <x:c r="I1061" s="9" t="str">
        <x:v>No</x:v>
      </x:c>
      <x:c r="J1061" s="9" t="str">
        <x:v>Yes</x:v>
      </x:c>
      <x:c r="K1061" s="9" t="str">
        <x:v>No</x:v>
      </x:c>
      <x:c r="L1061" s="9" t="str">
        <x:v>No</x:v>
      </x:c>
      <x:c r="M1061" s="9" t="str">
        <x:v>Children's lesson disc</x:v>
      </x:c>
      <x:c r="N1061" s="9" t="str">
        <x:v>Animated</x:v>
      </x:c>
      <x:c r="O1061" s="9" t="n">
        <x:v>9</x:v>
      </x:c>
      <x:c r="P1061" s="9" t="str">
        <x:v>Game show / trivia</x:v>
      </x:c>
      <x:c r="Q1061" s="9" t="str">
        <x:v>Released</x:v>
      </x:c>
      <x:c r="R1061" s="9" t="str">
        <x:v>Licensed Anpanman footage (TMS)</x:v>
      </x:c>
      <x:c r="S1061" s="9" t="str">
        <x:v>None</x:v>
      </x:c>
      <x:c r="T1061" s="9" t="str">
        <x:v>The Anpanman voice cast</x:v>
      </x:c>
      <x:c r="U1061" s="9" t="n">
        <x:v>1</x:v>
      </x:c>
      <x:c r="V1061" s="9" t="str">
        <x:v>No</x:v>
      </x:c>
      <x:c r="W1061" s="9" t="str">
        <x:v>Playdia (BA-001) with its infrared pad; the system has no save memory (verify)</x:v>
      </x:c>
      <x:c r="X1061" s="9" t="str">
        <x:v>Med</x:v>
      </x:c>
      <x:c r="Y1061" s="9" t="str">
        <x:v>Anpanman footage</x:v>
      </x:c>
      <x:c r="Z1061" s="9" t="str">
        <x:v>30 min</x:v>
      </x:c>
      <x:c r="AA1061" s="9" t="str">
        <x:v>Anpanman teaches picnic lessons: a clip, a question, a cheer or a groan.</x:v>
      </x:c>
      <x:c r="AB1061" s="9" t="str">
        <x:v>None known</x:v>
      </x:c>
      <x:c r="AC1061" s="9" t="str">
        <x:v>Children's lesson disc: short anime clips, then a question answered on the pad</x:v>
      </x:c>
      <x:c r="AD1061" s="9" t="str">
        <x:v>Easy; for preschoolers</x:v>
      </x:c>
      <x:c r="AE1061" s="9" t="str">
        <x:v>Score</x:v>
      </x:c>
      <x:c r="AF1061" s="9" t="str">
        <x:v>One of the preschool lesson discs that made up most of the console's 1995–96 output.</x:v>
      </x:c>
      <x:c r="AG1061" s="9" t="str">
        <x:v>Single release</x:v>
      </x:c>
      <x:c r="AH1061" s="9" t="str">
        <x:v>No</x:v>
      </x:c>
      <x:c r="AI1061" s="9" t="str">
        <x:v>Import</x:v>
      </x:c>
      <x:c r="AJ1061" s="9" t="str">
        <x:v>Original disc on an imported Playdia (NTSC-J, no region lock beyond the hardware); MAME's Playdia driver is preliminary (verify)</x:v>
      </x:c>
      <x:c r="AK1061" s="9" t="str">
        <x:v>Facts inferred from the title and the console's format.</x:v>
      </x:c>
      <x:c r="AL1061" s="10"/>
      <x:c r="AM1061" s="10"/>
      <x:c r="AN1061" s="10"/>
      <x:c r="AO1061" s="9"/>
      <x:c r="AP1061" s="11" t="str">
        <x:f>HYPERLINK("https://www.pricecharting.com/search-products?q=Soreike%21+Anpanman%3A+Picnic+de+Obenky%C5%8D+playdia&amp;type=prices","PriceCharting")</x:f>
        <x:v>PriceCharting</x:v>
      </x:c>
      <x:c r="AQ1061" s="9"/>
      <x:c r="AR1061" s="9"/>
      <x:c r="AS1061" s="9"/>
      <x:c r="AT1061" s="9"/>
      <x:c r="AU1061" s="9"/>
      <x:c r="AV1061" s="9"/>
      <x:c r="AW1061" s="9"/>
      <x:c r="AX1061" s="9"/>
      <x:c r="AY1061" s="9"/>
      <x:c r="AZ1061" s="9"/>
      <x:c r="BA1061" s="11" t="str">
        <x:f>HYPERLINK("https://www.mobygames.com/search/?q=Soreike%21+Anpanman%3A+Picnic+de+Obenky%C5%8D","MobyGames")</x:f>
        <x:v>MobyGames</x:v>
      </x:c>
      <x:c r="BB1061" s="9" t="str"/>
      <x:c r="BC1061" s="9" t="str"/>
      <x:c r="BD1061" s="9"/>
      <x:c r="BE1061" s="9"/>
      <x:c r="BF1061" s="11" t="str">
        <x:f>HYPERLINK("https://backloggd.com/search/games/Soreike%21%20Anpanman%3A%20Picnic%20de%20Obenky%C5%8D/","Backloggd")</x:f>
        <x:v>Backloggd</x:v>
      </x:c>
      <x:c r="BG1061" s="9"/>
      <x:c r="BH1061" s="9"/>
      <x:c r="BI1061" s="12" t="str">
        <x:v>No</x:v>
      </x:c>
      <x:c r="BJ1061" s="12" t="str"/>
      <x:c r="BK1061" s="12" t="str">
        <x:v>No</x:v>
      </x:c>
      <x:c r="BL1061" s="12" t="str"/>
      <x:c r="BM1061" s="12" t="str"/>
      <x:c r="BN1061" s="12" t="str"/>
      <x:c r="BO1061" s="12" t="str"/>
      <x:c r="BP1061" s="12" t="str"/>
      <x:c r="BQ1061" s="12" t="str"/>
    </x:row>
    <x:row r="1062">
      <x:c r="A1062" s="9" t="str">
        <x:v>playdia-28</x:v>
      </x:c>
      <x:c r="B1062" s="9" t="str">
        <x:v>ultraman-suji-de-asobo-ultra-land</x:v>
      </x:c>
      <x:c r="C1062" s="9" t="str">
        <x:v>Bandai Playdia</x:v>
      </x:c>
      <x:c r="D1062" s="9" t="str">
        <x:v>Ultraman: Sūji de Asobō Ultra Land</x:v>
      </x:c>
      <x:c r="E1062" s="9" t="str">
        <x:v>Ultraman: Play with Numbers in Ultra Land (BAPD-28)</x:v>
      </x:c>
      <x:c r="F1062" s="9" t="str">
        <x:v>Bandai (verify)</x:v>
      </x:c>
      <x:c r="G1062" s="9" t="str">
        <x:v>Bandai</x:v>
      </x:c>
      <x:c r="H1062" s="9" t="n">
        <x:v>1996</x:v>
      </x:c>
      <x:c r="I1062" s="9" t="str">
        <x:v>No</x:v>
      </x:c>
      <x:c r="J1062" s="9" t="str">
        <x:v>Yes</x:v>
      </x:c>
      <x:c r="K1062" s="9" t="str">
        <x:v>No</x:v>
      </x:c>
      <x:c r="L1062" s="9" t="str">
        <x:v>No</x:v>
      </x:c>
      <x:c r="M1062" s="9" t="str">
        <x:v>Children's lesson disc</x:v>
      </x:c>
      <x:c r="N1062" s="9" t="str">
        <x:v>Animated</x:v>
      </x:c>
      <x:c r="O1062" s="9" t="n">
        <x:v>9</x:v>
      </x:c>
      <x:c r="P1062" s="9" t="str">
        <x:v>Game show / trivia</x:v>
      </x:c>
      <x:c r="Q1062" s="9" t="str">
        <x:v>Released</x:v>
      </x:c>
      <x:c r="R1062" s="9" t="str">
        <x:v>Licensed Tsuburaya Ultraman footage</x:v>
      </x:c>
      <x:c r="S1062" s="9" t="str">
        <x:v>None</x:v>
      </x:c>
      <x:c r="T1062" s="9" t="str">
        <x:v>The Ultraman voice cast</x:v>
      </x:c>
      <x:c r="U1062" s="9" t="n">
        <x:v>1</x:v>
      </x:c>
      <x:c r="V1062" s="9" t="str">
        <x:v>No</x:v>
      </x:c>
      <x:c r="W1062" s="9" t="str">
        <x:v>Playdia (BA-001) with its infrared pad; the system has no save memory (verify)</x:v>
      </x:c>
      <x:c r="X1062" s="9" t="str">
        <x:v>Med</x:v>
      </x:c>
      <x:c r="Y1062" s="9" t="str">
        <x:v>Ultraman footage</x:v>
      </x:c>
      <x:c r="Z1062" s="9" t="str">
        <x:v>30 min</x:v>
      </x:c>
      <x:c r="AA1062" s="9" t="str">
        <x:v>Ultraman teaches numbers: a clip, a question, a cheer or a groan.</x:v>
      </x:c>
      <x:c r="AB1062" s="9" t="str">
        <x:v>None known</x:v>
      </x:c>
      <x:c r="AC1062" s="9" t="str">
        <x:v>Children's lesson disc: short anime clips, then a question answered on the pad</x:v>
      </x:c>
      <x:c r="AD1062" s="9" t="str">
        <x:v>Easy; for preschoolers</x:v>
      </x:c>
      <x:c r="AE1062" s="9" t="str">
        <x:v>Score</x:v>
      </x:c>
      <x:c r="AF1062" s="9" t="str">
        <x:v>One of the preschool lesson discs that made up most of the console's 1995–96 output.</x:v>
      </x:c>
      <x:c r="AG1062" s="9" t="str">
        <x:v>Single release</x:v>
      </x:c>
      <x:c r="AH1062" s="9" t="str">
        <x:v>No</x:v>
      </x:c>
      <x:c r="AI1062" s="9" t="str">
        <x:v>Import</x:v>
      </x:c>
      <x:c r="AJ1062" s="9" t="str">
        <x:v>Original disc on an imported Playdia (NTSC-J, no region lock beyond the hardware); MAME's Playdia driver is preliminary (verify)</x:v>
      </x:c>
      <x:c r="AK1062" s="9" t="str">
        <x:v>Facts inferred from the title and the console's format.</x:v>
      </x:c>
      <x:c r="AL1062" s="10"/>
      <x:c r="AM1062" s="10"/>
      <x:c r="AN1062" s="10"/>
      <x:c r="AO1062" s="9"/>
      <x:c r="AP1062" s="11" t="str">
        <x:f>HYPERLINK("https://www.pricecharting.com/search-products?q=Ultraman%3A+S%C5%ABji+de+Asob%C5%8D+Ultra+Land+playdia&amp;type=prices","PriceCharting")</x:f>
        <x:v>PriceCharting</x:v>
      </x:c>
      <x:c r="AQ1062" s="9"/>
      <x:c r="AR1062" s="9"/>
      <x:c r="AS1062" s="9"/>
      <x:c r="AT1062" s="9"/>
      <x:c r="AU1062" s="9"/>
      <x:c r="AV1062" s="9"/>
      <x:c r="AW1062" s="9"/>
      <x:c r="AX1062" s="9"/>
      <x:c r="AY1062" s="9"/>
      <x:c r="AZ1062" s="9"/>
      <x:c r="BA1062" s="11" t="str">
        <x:f>HYPERLINK("https://www.mobygames.com/search/?q=Ultraman%3A+S%C5%ABji+de+Asob%C5%8D+Ultra+Land","MobyGames")</x:f>
        <x:v>MobyGames</x:v>
      </x:c>
      <x:c r="BB1062" s="9" t="str"/>
      <x:c r="BC1062" s="9" t="str"/>
      <x:c r="BD1062" s="9"/>
      <x:c r="BE1062" s="9"/>
      <x:c r="BF1062" s="11" t="str">
        <x:f>HYPERLINK("https://backloggd.com/search/games/Ultraman%3A%20S%C5%ABji%20de%20Asob%C5%8D%20Ultra%20Land/","Backloggd")</x:f>
        <x:v>Backloggd</x:v>
      </x:c>
      <x:c r="BG1062" s="9"/>
      <x:c r="BH1062" s="9"/>
      <x:c r="BI1062" s="12" t="str">
        <x:v>No</x:v>
      </x:c>
      <x:c r="BJ1062" s="12" t="str"/>
      <x:c r="BK1062" s="12" t="str">
        <x:v>No</x:v>
      </x:c>
      <x:c r="BL1062" s="12" t="str"/>
      <x:c r="BM1062" s="12" t="str"/>
      <x:c r="BN1062" s="12" t="str"/>
      <x:c r="BO1062" s="12" t="str"/>
      <x:c r="BP1062" s="12" t="str"/>
      <x:c r="BQ1062" s="12" t="str"/>
    </x:row>
    <x:row r="1063">
      <x:c r="A1063" s="9" t="str">
        <x:v>playdia-29</x:v>
      </x:c>
      <x:c r="B1063" s="9" t="str">
        <x:v>ultraman-chino-up-dai-sakusen</x:v>
      </x:c>
      <x:c r="C1063" s="9" t="str">
        <x:v>Bandai Playdia</x:v>
      </x:c>
      <x:c r="D1063" s="9" t="str">
        <x:v>Ultraman: Ultraman Chinō Up Dai Sakusen</x:v>
      </x:c>
      <x:c r="E1063" s="9" t="str">
        <x:v>Ultraman: Intelligence-Up Mission (BAPD-29)</x:v>
      </x:c>
      <x:c r="F1063" s="9" t="str">
        <x:v>Bandai (verify)</x:v>
      </x:c>
      <x:c r="G1063" s="9" t="str">
        <x:v>Bandai</x:v>
      </x:c>
      <x:c r="H1063" s="9" t="n">
        <x:v>1996</x:v>
      </x:c>
      <x:c r="I1063" s="9" t="str">
        <x:v>No</x:v>
      </x:c>
      <x:c r="J1063" s="9" t="str">
        <x:v>Yes</x:v>
      </x:c>
      <x:c r="K1063" s="9" t="str">
        <x:v>No</x:v>
      </x:c>
      <x:c r="L1063" s="9" t="str">
        <x:v>No</x:v>
      </x:c>
      <x:c r="M1063" s="9" t="str">
        <x:v>Children's lesson disc</x:v>
      </x:c>
      <x:c r="N1063" s="9" t="str">
        <x:v>Animated</x:v>
      </x:c>
      <x:c r="O1063" s="9" t="n">
        <x:v>9</x:v>
      </x:c>
      <x:c r="P1063" s="9" t="str">
        <x:v>Game show / trivia</x:v>
      </x:c>
      <x:c r="Q1063" s="9" t="str">
        <x:v>Released</x:v>
      </x:c>
      <x:c r="R1063" s="9" t="str">
        <x:v>Licensed Tsuburaya Ultraman footage</x:v>
      </x:c>
      <x:c r="S1063" s="9" t="str">
        <x:v>None</x:v>
      </x:c>
      <x:c r="T1063" s="9" t="str">
        <x:v>The Ultraman voice cast</x:v>
      </x:c>
      <x:c r="U1063" s="9" t="n">
        <x:v>1</x:v>
      </x:c>
      <x:c r="V1063" s="9" t="str">
        <x:v>No</x:v>
      </x:c>
      <x:c r="W1063" s="9" t="str">
        <x:v>Playdia (BA-001) with its infrared pad; the system has no save memory (verify)</x:v>
      </x:c>
      <x:c r="X1063" s="9" t="str">
        <x:v>Med</x:v>
      </x:c>
      <x:c r="Y1063" s="9" t="str">
        <x:v>Ultraman footage</x:v>
      </x:c>
      <x:c r="Z1063" s="9" t="str">
        <x:v>30 min</x:v>
      </x:c>
      <x:c r="AA1063" s="9" t="str">
        <x:v>Ultraman teaches puzzles: a clip, a question, a cheer or a groan.</x:v>
      </x:c>
      <x:c r="AB1063" s="9" t="str">
        <x:v>None known</x:v>
      </x:c>
      <x:c r="AC1063" s="9" t="str">
        <x:v>Children's lesson disc: short anime clips, then a question answered on the pad</x:v>
      </x:c>
      <x:c r="AD1063" s="9" t="str">
        <x:v>Easy; for preschoolers</x:v>
      </x:c>
      <x:c r="AE1063" s="9" t="str">
        <x:v>Score</x:v>
      </x:c>
      <x:c r="AF1063" s="9" t="str">
        <x:v>One of the preschool lesson discs that made up most of the console's 1995–96 output.</x:v>
      </x:c>
      <x:c r="AG1063" s="9" t="str">
        <x:v>Single release</x:v>
      </x:c>
      <x:c r="AH1063" s="9" t="str">
        <x:v>No</x:v>
      </x:c>
      <x:c r="AI1063" s="9" t="str">
        <x:v>Import</x:v>
      </x:c>
      <x:c r="AJ1063" s="9" t="str">
        <x:v>Original disc on an imported Playdia (NTSC-J, no region lock beyond the hardware); MAME's Playdia driver is preliminary (verify)</x:v>
      </x:c>
      <x:c r="AK1063" s="9" t="str">
        <x:v>Facts inferred from the title and the console's format.</x:v>
      </x:c>
      <x:c r="AL1063" s="10"/>
      <x:c r="AM1063" s="10"/>
      <x:c r="AN1063" s="10"/>
      <x:c r="AO1063" s="9"/>
      <x:c r="AP1063" s="11" t="str">
        <x:f>HYPERLINK("https://www.pricecharting.com/search-products?q=Ultraman%3A+Ultraman+Chin%C5%8D+Up+Dai+Sakusen+playdia&amp;type=prices","PriceCharting")</x:f>
        <x:v>PriceCharting</x:v>
      </x:c>
      <x:c r="AQ1063" s="9"/>
      <x:c r="AR1063" s="9"/>
      <x:c r="AS1063" s="9"/>
      <x:c r="AT1063" s="9"/>
      <x:c r="AU1063" s="9"/>
      <x:c r="AV1063" s="9"/>
      <x:c r="AW1063" s="9"/>
      <x:c r="AX1063" s="9"/>
      <x:c r="AY1063" s="9"/>
      <x:c r="AZ1063" s="9"/>
      <x:c r="BA1063" s="11" t="str">
        <x:f>HYPERLINK("https://www.mobygames.com/search/?q=Ultraman%3A+Ultraman+Chin%C5%8D+Up+Dai+Sakusen","MobyGames")</x:f>
        <x:v>MobyGames</x:v>
      </x:c>
      <x:c r="BB1063" s="9" t="str"/>
      <x:c r="BC1063" s="9" t="str"/>
      <x:c r="BD1063" s="9"/>
      <x:c r="BE1063" s="9"/>
      <x:c r="BF1063" s="11" t="str">
        <x:f>HYPERLINK("https://backloggd.com/search/games/Ultraman%3A%20Ultraman%20Chin%C5%8D%20Up%20Dai%20Sakusen/","Backloggd")</x:f>
        <x:v>Backloggd</x:v>
      </x:c>
      <x:c r="BG1063" s="9"/>
      <x:c r="BH1063" s="9"/>
      <x:c r="BI1063" s="12" t="str">
        <x:v>No</x:v>
      </x:c>
      <x:c r="BJ1063" s="12" t="str"/>
      <x:c r="BK1063" s="12" t="str">
        <x:v>No</x:v>
      </x:c>
      <x:c r="BL1063" s="12" t="str"/>
      <x:c r="BM1063" s="12" t="str"/>
      <x:c r="BN1063" s="12" t="str"/>
      <x:c r="BO1063" s="12" t="str"/>
      <x:c r="BP1063" s="12" t="str"/>
      <x:c r="BQ1063" s="12" t="str"/>
    </x:row>
    <x:row r="1064">
      <x:c r="A1064" s="9" t="str">
        <x:v>playdia-30</x:v>
      </x:c>
      <x:c r="B1064" s="9" t="str">
        <x:v>nintama-rantaro-gungun-nobiru-chino-hen</x:v>
      </x:c>
      <x:c r="C1064" s="9" t="str">
        <x:v>Bandai Playdia</x:v>
      </x:c>
      <x:c r="D1064" s="9" t="str">
        <x:v>Nintama Rantarō: Gungun Nobiru Chinō-hen</x:v>
      </x:c>
      <x:c r="E1064" s="9" t="str">
        <x:v>Nintama Rantarō: Growing Intelligence (BKPD-04)</x:v>
      </x:c>
      <x:c r="F1064" s="9" t="str">
        <x:v>Bandai (verify)</x:v>
      </x:c>
      <x:c r="G1064" s="9" t="str">
        <x:v>Bandai</x:v>
      </x:c>
      <x:c r="H1064" s="9" t="n">
        <x:v>1996</x:v>
      </x:c>
      <x:c r="I1064" s="9" t="str">
        <x:v>No</x:v>
      </x:c>
      <x:c r="J1064" s="9" t="str">
        <x:v>Yes</x:v>
      </x:c>
      <x:c r="K1064" s="9" t="str">
        <x:v>No</x:v>
      </x:c>
      <x:c r="L1064" s="9" t="str">
        <x:v>No</x:v>
      </x:c>
      <x:c r="M1064" s="9" t="str">
        <x:v>Children's lesson disc</x:v>
      </x:c>
      <x:c r="N1064" s="9" t="str">
        <x:v>Animated</x:v>
      </x:c>
      <x:c r="O1064" s="9" t="n">
        <x:v>9</x:v>
      </x:c>
      <x:c r="P1064" s="9" t="str">
        <x:v>Game show / trivia</x:v>
      </x:c>
      <x:c r="Q1064" s="9" t="str">
        <x:v>Released</x:v>
      </x:c>
      <x:c r="R1064" s="9" t="str">
        <x:v>Licensed Nintama Rantarō footage (NHK)</x:v>
      </x:c>
      <x:c r="S1064" s="9" t="str">
        <x:v>None</x:v>
      </x:c>
      <x:c r="T1064" s="9" t="str">
        <x:v>The Nintama Rantarō voice cast</x:v>
      </x:c>
      <x:c r="U1064" s="9" t="n">
        <x:v>1</x:v>
      </x:c>
      <x:c r="V1064" s="9" t="str">
        <x:v>No</x:v>
      </x:c>
      <x:c r="W1064" s="9" t="str">
        <x:v>Playdia (BA-001) with its infrared pad; the system has no save memory (verify)</x:v>
      </x:c>
      <x:c r="X1064" s="9" t="str">
        <x:v>Med</x:v>
      </x:c>
      <x:c r="Y1064" s="9" t="str">
        <x:v>Nintama Rantarō footage</x:v>
      </x:c>
      <x:c r="Z1064" s="9" t="str">
        <x:v>30 min</x:v>
      </x:c>
      <x:c r="AA1064" s="9" t="str">
        <x:v>Nintama Rantarō teaches puzzles: a clip, a question, a cheer or a groan.</x:v>
      </x:c>
      <x:c r="AB1064" s="9" t="str">
        <x:v>None known</x:v>
      </x:c>
      <x:c r="AC1064" s="9" t="str">
        <x:v>Children's lesson disc: short anime clips, then a question answered on the pad</x:v>
      </x:c>
      <x:c r="AD1064" s="9" t="str">
        <x:v>Easy; for preschoolers</x:v>
      </x:c>
      <x:c r="AE1064" s="9" t="str">
        <x:v>Score</x:v>
      </x:c>
      <x:c r="AF1064" s="9" t="str">
        <x:v>One of the preschool lesson discs that made up most of the console's 1995–96 output.</x:v>
      </x:c>
      <x:c r="AG1064" s="9" t="str">
        <x:v>Single release</x:v>
      </x:c>
      <x:c r="AH1064" s="9" t="str">
        <x:v>No</x:v>
      </x:c>
      <x:c r="AI1064" s="9" t="str">
        <x:v>Import</x:v>
      </x:c>
      <x:c r="AJ1064" s="9" t="str">
        <x:v>Original disc on an imported Playdia (NTSC-J, no region lock beyond the hardware); MAME's Playdia driver is preliminary (verify)</x:v>
      </x:c>
      <x:c r="AK1064" s="9" t="str">
        <x:v>Facts inferred from the title and the console's format.</x:v>
      </x:c>
      <x:c r="AL1064" s="10"/>
      <x:c r="AM1064" s="10"/>
      <x:c r="AN1064" s="10"/>
      <x:c r="AO1064" s="9"/>
      <x:c r="AP1064" s="11" t="str">
        <x:f>HYPERLINK("https://www.pricecharting.com/search-products?q=Nintama+Rantar%C5%8D%3A+Gungun+Nobiru+Chin%C5%8D-hen+playdia&amp;type=prices","PriceCharting")</x:f>
        <x:v>PriceCharting</x:v>
      </x:c>
      <x:c r="AQ1064" s="9"/>
      <x:c r="AR1064" s="9"/>
      <x:c r="AS1064" s="9"/>
      <x:c r="AT1064" s="9"/>
      <x:c r="AU1064" s="9"/>
      <x:c r="AV1064" s="9"/>
      <x:c r="AW1064" s="9"/>
      <x:c r="AX1064" s="9"/>
      <x:c r="AY1064" s="9"/>
      <x:c r="AZ1064" s="9"/>
      <x:c r="BA1064" s="11" t="str">
        <x:f>HYPERLINK("https://www.mobygames.com/search/?q=Nintama+Rantar%C5%8D%3A+Gungun+Nobiru+Chin%C5%8D-hen","MobyGames")</x:f>
        <x:v>MobyGames</x:v>
      </x:c>
      <x:c r="BB1064" s="9" t="str"/>
      <x:c r="BC1064" s="9" t="str"/>
      <x:c r="BD1064" s="9"/>
      <x:c r="BE1064" s="9"/>
      <x:c r="BF1064" s="11" t="str">
        <x:f>HYPERLINK("https://backloggd.com/search/games/Nintama%20Rantar%C5%8D%3A%20Gungun%20Nobiru%20Chin%C5%8D-hen/","Backloggd")</x:f>
        <x:v>Backloggd</x:v>
      </x:c>
      <x:c r="BG1064" s="9"/>
      <x:c r="BH1064" s="9"/>
      <x:c r="BI1064" s="12" t="str">
        <x:v>No</x:v>
      </x:c>
      <x:c r="BJ1064" s="12" t="str"/>
      <x:c r="BK1064" s="12" t="str">
        <x:v>No</x:v>
      </x:c>
      <x:c r="BL1064" s="12" t="str"/>
      <x:c r="BM1064" s="12" t="str"/>
      <x:c r="BN1064" s="12" t="str"/>
      <x:c r="BO1064" s="12" t="str"/>
      <x:c r="BP1064" s="12" t="str"/>
      <x:c r="BQ1064" s="12" t="str"/>
    </x:row>
    <x:row r="1065">
      <x:c r="A1065" s="9" t="str">
        <x:v>playdia-31</x:v>
      </x:c>
      <x:c r="B1065" s="9" t="str">
        <x:v>nintama-rantaro-hajimete-oboeru-chishiki-hen</x:v>
      </x:c>
      <x:c r="C1065" s="9" t="str">
        <x:v>Bandai Playdia</x:v>
      </x:c>
      <x:c r="D1065" s="9" t="str">
        <x:v>Nintama Rantarō: Hajimete Oboeru Chishiki-hen</x:v>
      </x:c>
      <x:c r="E1065" s="9" t="str">
        <x:v>Nintama Rantarō: First Knowledge (BKPD-05)</x:v>
      </x:c>
      <x:c r="F1065" s="9" t="str">
        <x:v>Bandai (verify)</x:v>
      </x:c>
      <x:c r="G1065" s="9" t="str">
        <x:v>Bandai</x:v>
      </x:c>
      <x:c r="H1065" s="9" t="n">
        <x:v>1996</x:v>
      </x:c>
      <x:c r="I1065" s="9" t="str">
        <x:v>No</x:v>
      </x:c>
      <x:c r="J1065" s="9" t="str">
        <x:v>Yes</x:v>
      </x:c>
      <x:c r="K1065" s="9" t="str">
        <x:v>No</x:v>
      </x:c>
      <x:c r="L1065" s="9" t="str">
        <x:v>No</x:v>
      </x:c>
      <x:c r="M1065" s="9" t="str">
        <x:v>Children's lesson disc</x:v>
      </x:c>
      <x:c r="N1065" s="9" t="str">
        <x:v>Animated</x:v>
      </x:c>
      <x:c r="O1065" s="9" t="n">
        <x:v>9</x:v>
      </x:c>
      <x:c r="P1065" s="9" t="str">
        <x:v>Game show / trivia</x:v>
      </x:c>
      <x:c r="Q1065" s="9" t="str">
        <x:v>Released</x:v>
      </x:c>
      <x:c r="R1065" s="9" t="str">
        <x:v>Licensed Nintama Rantarō footage (NHK)</x:v>
      </x:c>
      <x:c r="S1065" s="9" t="str">
        <x:v>None</x:v>
      </x:c>
      <x:c r="T1065" s="9" t="str">
        <x:v>The Nintama Rantarō voice cast</x:v>
      </x:c>
      <x:c r="U1065" s="9" t="n">
        <x:v>1</x:v>
      </x:c>
      <x:c r="V1065" s="9" t="str">
        <x:v>No</x:v>
      </x:c>
      <x:c r="W1065" s="9" t="str">
        <x:v>Playdia (BA-001) with its infrared pad; the system has no save memory (verify)</x:v>
      </x:c>
      <x:c r="X1065" s="9" t="str">
        <x:v>Med</x:v>
      </x:c>
      <x:c r="Y1065" s="9" t="str">
        <x:v>Nintama Rantarō footage</x:v>
      </x:c>
      <x:c r="Z1065" s="9" t="str">
        <x:v>30 min</x:v>
      </x:c>
      <x:c r="AA1065" s="9" t="str">
        <x:v>Nintama Rantarō teaches first facts: a clip, a question, a cheer or a groan.</x:v>
      </x:c>
      <x:c r="AB1065" s="9" t="str">
        <x:v>None known</x:v>
      </x:c>
      <x:c r="AC1065" s="9" t="str">
        <x:v>Children's lesson disc: short anime clips, then a question answered on the pad</x:v>
      </x:c>
      <x:c r="AD1065" s="9" t="str">
        <x:v>Easy; for preschoolers</x:v>
      </x:c>
      <x:c r="AE1065" s="9" t="str">
        <x:v>Score</x:v>
      </x:c>
      <x:c r="AF1065" s="9" t="str">
        <x:v>One of the preschool lesson discs that made up most of the console's 1995–96 output.</x:v>
      </x:c>
      <x:c r="AG1065" s="9" t="str">
        <x:v>Single release</x:v>
      </x:c>
      <x:c r="AH1065" s="9" t="str">
        <x:v>No</x:v>
      </x:c>
      <x:c r="AI1065" s="9" t="str">
        <x:v>Import</x:v>
      </x:c>
      <x:c r="AJ1065" s="9" t="str">
        <x:v>Original disc on an imported Playdia (NTSC-J, no region lock beyond the hardware); MAME's Playdia driver is preliminary (verify)</x:v>
      </x:c>
      <x:c r="AK1065" s="9" t="str">
        <x:v>Facts inferred from the title and the console's format.</x:v>
      </x:c>
      <x:c r="AL1065" s="10"/>
      <x:c r="AM1065" s="10"/>
      <x:c r="AN1065" s="10"/>
      <x:c r="AO1065" s="9"/>
      <x:c r="AP1065" s="11" t="str">
        <x:f>HYPERLINK("https://www.pricecharting.com/search-products?q=Nintama+Rantar%C5%8D%3A+Hajimete+Oboeru+Chishiki-hen+playdia&amp;type=prices","PriceCharting")</x:f>
        <x:v>PriceCharting</x:v>
      </x:c>
      <x:c r="AQ1065" s="9"/>
      <x:c r="AR1065" s="9"/>
      <x:c r="AS1065" s="9"/>
      <x:c r="AT1065" s="9"/>
      <x:c r="AU1065" s="9"/>
      <x:c r="AV1065" s="9"/>
      <x:c r="AW1065" s="9"/>
      <x:c r="AX1065" s="9"/>
      <x:c r="AY1065" s="9"/>
      <x:c r="AZ1065" s="9"/>
      <x:c r="BA1065" s="11" t="str">
        <x:f>HYPERLINK("https://www.mobygames.com/search/?q=Nintama+Rantar%C5%8D%3A+Hajimete+Oboeru+Chishiki-hen","MobyGames")</x:f>
        <x:v>MobyGames</x:v>
      </x:c>
      <x:c r="BB1065" s="9" t="str"/>
      <x:c r="BC1065" s="9" t="str"/>
      <x:c r="BD1065" s="9"/>
      <x:c r="BE1065" s="9"/>
      <x:c r="BF1065" s="11" t="str">
        <x:f>HYPERLINK("https://backloggd.com/search/games/Nintama%20Rantar%C5%8D%3A%20Hajimete%20Oboeru%20Chishiki-hen/","Backloggd")</x:f>
        <x:v>Backloggd</x:v>
      </x:c>
      <x:c r="BG1065" s="9"/>
      <x:c r="BH1065" s="9"/>
      <x:c r="BI1065" s="12" t="str">
        <x:v>No</x:v>
      </x:c>
      <x:c r="BJ1065" s="12" t="str"/>
      <x:c r="BK1065" s="12" t="str">
        <x:v>No</x:v>
      </x:c>
      <x:c r="BL1065" s="12" t="str"/>
      <x:c r="BM1065" s="12" t="str"/>
      <x:c r="BN1065" s="12" t="str"/>
      <x:c r="BO1065" s="12" t="str"/>
      <x:c r="BP1065" s="12" t="str"/>
      <x:c r="BQ1065" s="12" t="str"/>
    </x:row>
    <x:row r="1066">
      <x:c r="A1066" s="9" t="str">
        <x:v>playdia-32</x:v>
      </x:c>
      <x:c r="B1066" s="9" t="str">
        <x:v>gekiso-sentai-carranger-tatakae-hiragana-racer</x:v>
      </x:c>
      <x:c r="C1066" s="9" t="str">
        <x:v>Bandai Playdia</x:v>
      </x:c>
      <x:c r="D1066" s="9" t="str">
        <x:v>Gekisō Sentai Carranger: Tatakae! Hiragana Racer</x:v>
      </x:c>
      <x:c r="E1066" s="9" t="str">
        <x:v>Carranger: Fight! Hiragana Racer (BKPD-06)</x:v>
      </x:c>
      <x:c r="F1066" s="9" t="str">
        <x:v>Bandai (verify)</x:v>
      </x:c>
      <x:c r="G1066" s="9" t="str">
        <x:v>Bandai</x:v>
      </x:c>
      <x:c r="H1066" s="9" t="n">
        <x:v>1996</x:v>
      </x:c>
      <x:c r="I1066" s="9" t="str">
        <x:v>No</x:v>
      </x:c>
      <x:c r="J1066" s="9" t="str">
        <x:v>Yes</x:v>
      </x:c>
      <x:c r="K1066" s="9" t="str">
        <x:v>No</x:v>
      </x:c>
      <x:c r="L1066" s="9" t="str">
        <x:v>No</x:v>
      </x:c>
      <x:c r="M1066" s="9" t="str">
        <x:v>Children's lesson disc</x:v>
      </x:c>
      <x:c r="N1066" s="9" t="str">
        <x:v>Live-action</x:v>
      </x:c>
      <x:c r="O1066" s="9" t="n">
        <x:v>9</x:v>
      </x:c>
      <x:c r="P1066" s="9" t="str">
        <x:v>Game show / trivia</x:v>
      </x:c>
      <x:c r="Q1066" s="9" t="str">
        <x:v>Released</x:v>
      </x:c>
      <x:c r="R1066" s="9" t="str">
        <x:v>Licensed Toei Carranger footage</x:v>
      </x:c>
      <x:c r="S1066" s="9" t="str">
        <x:v>None</x:v>
      </x:c>
      <x:c r="T1066" s="9" t="str">
        <x:v>The Gekisō Sentai Carranger voice cast</x:v>
      </x:c>
      <x:c r="U1066" s="9" t="n">
        <x:v>1</x:v>
      </x:c>
      <x:c r="V1066" s="9" t="str">
        <x:v>No</x:v>
      </x:c>
      <x:c r="W1066" s="9" t="str">
        <x:v>Playdia (BA-001) with its infrared pad; the system has no save memory (verify)</x:v>
      </x:c>
      <x:c r="X1066" s="9" t="str">
        <x:v>Med</x:v>
      </x:c>
      <x:c r="Y1066" s="9" t="str">
        <x:v>Gekisō Sentai Carranger footage</x:v>
      </x:c>
      <x:c r="Z1066" s="9" t="str">
        <x:v>30 min</x:v>
      </x:c>
      <x:c r="AA1066" s="9" t="str">
        <x:v>Gekisō Sentai Carranger teaches hiragana: a clip, a question, a cheer or a groan.</x:v>
      </x:c>
      <x:c r="AB1066" s="9" t="str">
        <x:v>None known</x:v>
      </x:c>
      <x:c r="AC1066" s="9" t="str">
        <x:v>Children's lesson disc: short anime clips, then a question answered on the pad</x:v>
      </x:c>
      <x:c r="AD1066" s="9" t="str">
        <x:v>Easy; for preschoolers</x:v>
      </x:c>
      <x:c r="AE1066" s="9" t="str">
        <x:v>Score</x:v>
      </x:c>
      <x:c r="AF1066" s="9" t="str">
        <x:v>The last Playdia disc, 26 June 1996; the console was discontinued that year and unsold units became Banpresto's Micha King coin-op clip machines.</x:v>
      </x:c>
      <x:c r="AG1066" s="9" t="str">
        <x:v>Single release</x:v>
      </x:c>
      <x:c r="AH1066" s="9" t="str">
        <x:v>No</x:v>
      </x:c>
      <x:c r="AI1066" s="9" t="str">
        <x:v>Import</x:v>
      </x:c>
      <x:c r="AJ1066" s="9" t="str">
        <x:v>Original disc on an imported Playdia (NTSC-J, no region lock beyond the hardware); MAME's Playdia driver is preliminary (verify)</x:v>
      </x:c>
      <x:c r="AK1066" s="9" t="str">
        <x:v>Facts inferred from the title and the console's format.</x:v>
      </x:c>
      <x:c r="AL1066" s="10"/>
      <x:c r="AM1066" s="10"/>
      <x:c r="AN1066" s="10"/>
      <x:c r="AO1066" s="9"/>
      <x:c r="AP1066" s="11" t="str">
        <x:f>HYPERLINK("https://www.pricecharting.com/search-products?q=Gekis%C5%8D+Sentai+Carranger%3A+Tatakae%21+Hiragana+Racer+playdia&amp;type=prices","PriceCharting")</x:f>
        <x:v>PriceCharting</x:v>
      </x:c>
      <x:c r="AQ1066" s="9"/>
      <x:c r="AR1066" s="9"/>
      <x:c r="AS1066" s="9"/>
      <x:c r="AT1066" s="9"/>
      <x:c r="AU1066" s="9"/>
      <x:c r="AV1066" s="9"/>
      <x:c r="AW1066" s="9"/>
      <x:c r="AX1066" s="9"/>
      <x:c r="AY1066" s="9"/>
      <x:c r="AZ1066" s="9"/>
      <x:c r="BA1066" s="11" t="str">
        <x:f>HYPERLINK("https://www.mobygames.com/search/?q=Gekis%C5%8D+Sentai+Carranger%3A+Tatakae%21+Hiragana+Racer","MobyGames")</x:f>
        <x:v>MobyGames</x:v>
      </x:c>
      <x:c r="BB1066" s="9" t="str"/>
      <x:c r="BC1066" s="9" t="str"/>
      <x:c r="BD1066" s="9"/>
      <x:c r="BE1066" s="9"/>
      <x:c r="BF1066" s="11" t="str">
        <x:f>HYPERLINK("https://backloggd.com/search/games/Gekis%C5%8D%20Sentai%20Carranger%3A%20Tatakae%21%20Hiragana%20Racer/","Backloggd")</x:f>
        <x:v>Backloggd</x:v>
      </x:c>
      <x:c r="BG1066" s="9"/>
      <x:c r="BH1066" s="9"/>
      <x:c r="BI1066" s="12" t="str">
        <x:v>No</x:v>
      </x:c>
      <x:c r="BJ1066" s="12" t="str"/>
      <x:c r="BK1066" s="12" t="str">
        <x:v>No</x:v>
      </x:c>
      <x:c r="BL1066" s="12" t="str"/>
      <x:c r="BM1066" s="12" t="str"/>
      <x:c r="BN1066" s="12" t="str"/>
      <x:c r="BO1066" s="12" t="str"/>
      <x:c r="BP1066" s="12" t="str"/>
      <x:c r="BQ1066" s="12" t="str"/>
    </x:row>
    <x:row r="1067">
      <x:c r="A1067" s="9" t="str">
        <x:v>playdia-33</x:v>
      </x:c>
      <x:c r="B1067" s="9" t="str">
        <x:v>chogokin-selections</x:v>
      </x:c>
      <x:c r="C1067" s="9" t="str">
        <x:v>Bandai Playdia</x:v>
      </x:c>
      <x:c r="D1067" s="9" t="str">
        <x:v>Chōgōkin Selections</x:v>
      </x:c>
      <x:c r="E1067" s="9" t="str">
        <x:v>BKPD-01</x:v>
      </x:c>
      <x:c r="F1067" s="9" t="str">
        <x:v>Bandai (verify)</x:v>
      </x:c>
      <x:c r="G1067" s="9" t="str">
        <x:v>Bandai</x:v>
      </x:c>
      <x:c r="H1067" s="9" t="n">
        <x:v>1995</x:v>
      </x:c>
      <x:c r="I1067" s="9" t="str">
        <x:v>No</x:v>
      </x:c>
      <x:c r="J1067" s="9" t="str">
        <x:v>Yes</x:v>
      </x:c>
      <x:c r="K1067" s="9" t="str">
        <x:v>No</x:v>
      </x:c>
      <x:c r="L1067" s="9" t="str">
        <x:v>No</x:v>
      </x:c>
      <x:c r="M1067" s="9" t="str">
        <x:v>Toy and anime catalogue disc</x:v>
      </x:c>
      <x:c r="N1067" s="9" t="str">
        <x:v>Animated</x:v>
      </x:c>
      <x:c r="O1067" s="9" t="n">
        <x:v>10</x:v>
      </x:c>
      <x:c r="P1067" s="9" t="str">
        <x:v>Non-game video</x:v>
      </x:c>
      <x:c r="Q1067" s="9" t="str">
        <x:v>Released</x:v>
      </x:c>
      <x:c r="R1067" s="9" t="str">
        <x:v>Bandai Chogokin toy footage and robot anime clips</x:v>
      </x:c>
      <x:c r="S1067" s="9" t="str">
        <x:v>None</x:v>
      </x:c>
      <x:c r="T1067" s="9"/>
      <x:c r="U1067" s="9" t="n">
        <x:v>1</x:v>
      </x:c>
      <x:c r="V1067" s="9" t="str">
        <x:v>No</x:v>
      </x:c>
      <x:c r="W1067" s="9" t="str">
        <x:v>Playdia (BA-001) with its infrared pad; the system has no save memory (verify)</x:v>
      </x:c>
      <x:c r="X1067" s="9" t="str">
        <x:v>Med</x:v>
      </x:c>
      <x:c r="Y1067" s="9" t="str">
        <x:v>Robot anime footage</x:v>
      </x:c>
      <x:c r="Z1067" s="9" t="str">
        <x:v>30–45 min</x:v>
      </x:c>
      <x:c r="AA1067" s="9" t="str">
        <x:v>Bandai's die-cast robot toys and the anime they came from, on a video disc for collectors.</x:v>
      </x:c>
      <x:c r="AB1067" s="9" t="str">
        <x:v>None known</x:v>
      </x:c>
      <x:c r="AC1067" s="9" t="str">
        <x:v>Clips and stills chosen from menus</x:v>
      </x:c>
      <x:c r="AD1067" s="9" t="str">
        <x:v>None</x:v>
      </x:c>
      <x:c r="AE1067" s="9" t="str">
        <x:v>None</x:v>
      </x:c>
      <x:c r="AF1067" s="9" t="str">
        <x:v>The first BKPD-coded disc, October 1995.</x:v>
      </x:c>
      <x:c r="AG1067" s="9" t="str">
        <x:v>Single release</x:v>
      </x:c>
      <x:c r="AH1067" s="9" t="str">
        <x:v>No</x:v>
      </x:c>
      <x:c r="AI1067" s="9" t="str">
        <x:v>Import</x:v>
      </x:c>
      <x:c r="AJ1067" s="9" t="str">
        <x:v>Original disc on an imported Playdia (NTSC-J, no region lock beyond the hardware); MAME's Playdia driver is preliminary (verify)</x:v>
      </x:c>
      <x:c r="AK1067" s="9" t="str">
        <x:v>Facts inferred from the title (verify).</x:v>
      </x:c>
      <x:c r="AL1067" s="10"/>
      <x:c r="AM1067" s="10"/>
      <x:c r="AN1067" s="10"/>
      <x:c r="AO1067" s="9"/>
      <x:c r="AP1067" s="11" t="str">
        <x:f>HYPERLINK("https://www.pricecharting.com/search-products?q=Ch%C5%8Dg%C5%8Dkin+Selections+playdia&amp;type=prices","PriceCharting")</x:f>
        <x:v>PriceCharting</x:v>
      </x:c>
      <x:c r="AQ1067" s="9"/>
      <x:c r="AR1067" s="9"/>
      <x:c r="AS1067" s="9"/>
      <x:c r="AT1067" s="9"/>
      <x:c r="AU1067" s="9"/>
      <x:c r="AV1067" s="9"/>
      <x:c r="AW1067" s="9"/>
      <x:c r="AX1067" s="9"/>
      <x:c r="AY1067" s="9"/>
      <x:c r="AZ1067" s="9"/>
      <x:c r="BA1067" s="11" t="str">
        <x:f>HYPERLINK("https://www.mobygames.com/search/?q=Ch%C5%8Dg%C5%8Dkin+Selections","MobyGames")</x:f>
        <x:v>MobyGames</x:v>
      </x:c>
      <x:c r="BB1067" s="9" t="str"/>
      <x:c r="BC1067" s="9" t="str"/>
      <x:c r="BD1067" s="9"/>
      <x:c r="BE1067" s="9"/>
      <x:c r="BF1067" s="11" t="str">
        <x:f>HYPERLINK("https://backloggd.com/search/games/Ch%C5%8Dg%C5%8Dkin%20Selections/","Backloggd")</x:f>
        <x:v>Backloggd</x:v>
      </x:c>
      <x:c r="BG1067" s="9"/>
      <x:c r="BH1067" s="9"/>
      <x:c r="BI1067" s="12" t="str">
        <x:v>No</x:v>
      </x:c>
      <x:c r="BJ1067" s="12" t="str"/>
      <x:c r="BK1067" s="12" t="str">
        <x:v>No</x:v>
      </x:c>
      <x:c r="BL1067" s="12" t="str"/>
      <x:c r="BM1067" s="12" t="str"/>
      <x:c r="BN1067" s="12" t="str"/>
      <x:c r="BO1067" s="12" t="str"/>
      <x:c r="BP1067" s="12" t="str"/>
      <x:c r="BQ1067" s="12" t="str"/>
    </x:row>
    <x:row r="1068">
      <x:c r="A1068" s="9" t="str">
        <x:v>console-1</x:v>
      </x:c>
      <x:c r="B1068" s="9" t="str">
        <x:v>d2</x:v>
      </x:c>
      <x:c r="C1068" s="9" t="str">
        <x:v>Later consoles</x:v>
      </x:c>
      <x:c r="D1068" s="9" t="str">
        <x:v>D2</x:v>
      </x:c>
      <x:c r="E1068" s="9" t="str"/>
      <x:c r="F1068" s="9" t="str">
        <x:v>Warp</x:v>
      </x:c>
      <x:c r="G1068" s="9" t="str">
        <x:v>Warp (JP); Sega (NA)</x:v>
      </x:c>
      <x:c r="H1068" s="9" t="n">
        <x:v>1999</x:v>
      </x:c>
      <x:c r="I1068" s="9" t="str">
        <x:v>Yes</x:v>
      </x:c>
      <x:c r="J1068" s="9" t="str">
        <x:v>Yes</x:v>
      </x:c>
      <x:c r="K1068" s="9" t="str">
        <x:v>No</x:v>
      </x:c>
      <x:c r="L1068" s="9" t="str">
        <x:v>No</x:v>
      </x:c>
      <x:c r="M1068" s="9" t="str">
        <x:v>Survival horror action adventure</x:v>
      </x:c>
      <x:c r="N1068" s="9" t="str">
        <x:v>Pre-rendered CG</x:v>
      </x:c>
      <x:c r="O1068" s="9" t="n">
        <x:v>4</x:v>
      </x:c>
      <x:c r="P1068" s="9" t="str">
        <x:v>Pre-rendered CG</x:v>
      </x:c>
      <x:c r="Q1068" s="9" t="str">
        <x:v>Released</x:v>
      </x:c>
      <x:c r="R1068" s="9" t="str">
        <x:v>Original production</x:v>
      </x:c>
      <x:c r="S1068" s="9" t="str">
        <x:v>None</x:v>
      </x:c>
      <x:c r="T1068" s="9" t="str">
        <x:v>Laura (voiced; cast verify), with Kenji Eno's own score</x:v>
      </x:c>
      <x:c r="U1068" s="9" t="n">
        <x:v>4</x:v>
      </x:c>
      <x:c r="V1068" s="9" t="str">
        <x:v>Yes</x:v>
      </x:c>
      <x:c r="W1068" s="9" t="str">
        <x:v>Dreamcast, VMU; four GD-ROMs</x:v>
      </x:c>
      <x:c r="X1068" s="9" t="str">
        <x:v>Low</x:v>
      </x:c>
      <x:c r="Y1068" s="9" t="str"/>
      <x:c r="Z1068" s="9" t="str">
        <x:v>10–12 hr</x:v>
      </x:c>
      <x:c r="AA1068" s="9" t="str">
        <x:v>Kenji Eno's last big game: Laura in a snowbound Canadian plane crash, with hours of pre-rendered video between the exploration and random battles, four discs' worth.</x:v>
      </x:c>
      <x:c r="AB1068" s="9" t="str">
        <x:v>None known</x:v>
      </x:c>
      <x:c r="AC1068" s="9" t="str">
        <x:v>Long pre-rendered CG cutscenes (Metacritic reviewers complained there were too many); gameplay is real time</x:v>
      </x:c>
      <x:c r="AD1068" s="9" t="str">
        <x:v>Moderate</x:v>
      </x:c>
      <x:c r="AE1068" s="9" t="str">
        <x:v>One</x:v>
      </x:c>
      <x:c r="AF1068" s="9" t="str">
        <x:v>Began as a Panasonic M2 launch title about a pregnant Laura fighting the Devil in Transylvania; the M2 game was about half finished when it moved to Dreamcast. The Japanese 'D2 Shock Demo' with Real Sound unlocks an M2 preview movie. Three Japanese limited editions (Hope, Bliss, Eclipse).</x:v>
      </x:c>
      <x:c r="AG1068" s="9" t="str">
        <x:v>Dreamcast Japan (23 Dec 1999; standard and three limited editions) and North America (22 Aug 2000)</x:v>
      </x:c>
      <x:c r="AH1068" s="9" t="str">
        <x:v>No</x:v>
      </x:c>
      <x:c r="AI1068" s="9" t="str">
        <x:v>Easy</x:v>
      </x:c>
      <x:c r="AJ1068" s="9" t="str">
        <x:v>Original GD-ROMs on a Dreamcast; emulation in Flycast or Redream</x:v>
      </x:c>
      <x:c r="AK1068" s="9" t="str">
        <x:v>Famitsu 32/40, GameSpot and IGN 6.2, Gamecenter 8/10. In because it continues D and Enemy Zero's lineage and Tom plays through Warp; the video is cutscenes, so fmv 4.</x:v>
      </x:c>
      <x:c r="AL1068" s="10" t="n">
        <x:v>84.99</x:v>
      </x:c>
      <x:c r="AM1068" s="10" t="n">
        <x:v>174.02</x:v>
      </x:c>
      <x:c r="AN1068" s="10" t="n">
        <x:v>308</x:v>
      </x:c>
      <x:c r="AO1068" s="9" t="str">
        <x:v>2026-10-25</x:v>
      </x:c>
      <x:c r="AP1068" s="11" t="str">
        <x:f>HYPERLINK("https://www.pricecharting.com/game/sega-dreamcast/d2","PriceCharting")</x:f>
        <x:v>PriceCharting</x:v>
      </x:c>
      <x:c r="AQ1068" s="9"/>
      <x:c r="AR1068" s="9"/>
      <x:c r="AS1068" s="9"/>
      <x:c r="AT1068" s="9"/>
      <x:c r="AU1068" s="9"/>
      <x:c r="AV1068" s="9"/>
      <x:c r="AW1068" s="9"/>
      <x:c r="AX1068" s="9"/>
      <x:c r="AY1068" s="9"/>
      <x:c r="AZ1068" s="9"/>
      <x:c r="BA1068" s="11" t="str">
        <x:f>HYPERLINK("https://www.mobygames.com/search/?q=D2","MobyGames")</x:f>
        <x:v>MobyGames</x:v>
      </x:c>
      <x:c r="BB1068" s="9" t="str">
        <x:v>69%</x:v>
      </x:c>
      <x:c r="BC1068" s="9" t="str">
        <x:v>Metacritic (Dreamcast)</x:v>
      </x:c>
      <x:c r="BD1068" s="9" t="str">
        <x:f>HYPERLINK("https://en.wikipedia.org/wiki/D2_(video_game)","Source")</x:f>
        <x:v>Source</x:v>
      </x:c>
      <x:c r="BE1068" s="11" t="str">
        <x:f>HYPERLINK("https://en.wikipedia.org/wiki/D2_(video_game)","Wikipedia")</x:f>
        <x:v>Wikipedia</x:v>
      </x:c>
      <x:c r="BF1068" s="11" t="str">
        <x:f>HYPERLINK("https://backloggd.com/search/games/D2/","Backloggd")</x:f>
        <x:v>Backloggd</x:v>
      </x:c>
      <x:c r="BG1068" s="9"/>
      <x:c r="BH1068" s="9"/>
      <x:c r="BI1068" s="12" t="str">
        <x:v>No</x:v>
      </x:c>
      <x:c r="BJ1068" s="12" t="str"/>
      <x:c r="BK1068" s="12" t="str">
        <x:v>No</x:v>
      </x:c>
      <x:c r="BL1068" s="12" t="str"/>
      <x:c r="BM1068" s="12" t="str"/>
      <x:c r="BN1068" s="12" t="str"/>
      <x:c r="BO1068" s="12" t="str"/>
      <x:c r="BP1068" s="12" t="str"/>
      <x:c r="BQ1068" s="12" t="str"/>
    </x:row>
    <x:row r="1069">
      <x:c r="A1069" s="9" t="str">
        <x:v>console-2</x:v>
      </x:c>
      <x:c r="B1069" s="9" t="str">
        <x:v>the-fear</x:v>
      </x:c>
      <x:c r="C1069" s="9" t="str">
        <x:v>Later consoles</x:v>
      </x:c>
      <x:c r="D1069" s="9" t="str">
        <x:v>The Fear</x:v>
      </x:c>
      <x:c r="E1069" s="9" t="str">
        <x:v>ザ・フィアー</x:v>
      </x:c>
      <x:c r="F1069" s="9" t="str">
        <x:v>Enix (verify; production by Digital Frontier is cited)</x:v>
      </x:c>
      <x:c r="G1069" s="9" t="str">
        <x:v>Enix</x:v>
      </x:c>
      <x:c r="H1069" s="9" t="n">
        <x:v>2001</x:v>
      </x:c>
      <x:c r="I1069" s="9" t="str">
        <x:v>No</x:v>
      </x:c>
      <x:c r="J1069" s="9" t="str">
        <x:v>Yes</x:v>
      </x:c>
      <x:c r="K1069" s="9" t="str">
        <x:v>No</x:v>
      </x:c>
      <x:c r="L1069" s="9" t="str">
        <x:v>No</x:v>
      </x:c>
      <x:c r="M1069" s="9" t="str">
        <x:v>Live-action horror adventure</x:v>
      </x:c>
      <x:c r="N1069" s="9" t="str">
        <x:v>Live-action</x:v>
      </x:c>
      <x:c r="O1069" s="9" t="n">
        <x:v>10</x:v>
      </x:c>
      <x:c r="P1069" s="9" t="str">
        <x:v>Interactive movie</x:v>
      </x:c>
      <x:c r="Q1069" s="9" t="str">
        <x:v>Released</x:v>
      </x:c>
      <x:c r="R1069" s="9" t="str">
        <x:v>Original production</x:v>
      </x:c>
      <x:c r="S1069" s="9" t="str">
        <x:v>None</x:v>
      </x:c>
      <x:c r="T1069" s="9" t="str">
        <x:v>Japanese cast (names verify), with the protagonist 'Camera Man' seen only through his lens</x:v>
      </x:c>
      <x:c r="U1069" s="9" t="n">
        <x:v>4</x:v>
      </x:c>
      <x:c r="V1069" s="9" t="str">
        <x:v>Yes</x:v>
      </x:c>
      <x:c r="W1069" s="9" t="str">
        <x:v>PlayStation 2; four DVDs; memory card</x:v>
      </x:c>
      <x:c r="X1069" s="9" t="str">
        <x:v>Low</x:v>
      </x:c>
      <x:c r="Y1069" s="9" t="str"/>
      <x:c r="Z1069" s="9" t="str">
        <x:v>6–10 hr</x:v>
      </x:c>
      <x:c r="AA1069" s="9" t="str">
        <x:v>Enix's four-DVD haunted-house film: young filmmakers enter a mansion to shoot a horror movie, and every step the cameraman takes is a filmed shot you steer.</x:v>
      </x:c>
      <x:c r="AB1069" s="9" t="str">
        <x:v>None known</x:v>
      </x:c>
      <x:c r="AC1069" s="9" t="str">
        <x:v>First-person live-action video for every move, with puzzles and short reaction sequences; MobyGames notes the player has more real control than most interactive movies</x:v>
      </x:c>
      <x:c r="AD1069" s="9" t="str">
        <x:v>Moderate; puzzles and a few action prompts</x:v>
      </x:c>
      <x:c r="AE1069" s="9" t="str">
        <x:v>Several (verify)</x:v>
      </x:c>
      <x:c r="AF1069" s="9" t="str">
        <x:v>Released 26 July 2001 in Japan only (verify date). One of very few live-action FMV games on the PS2 and the largest by disc count. MobyGames has no critic reviews and one 4.3/5 player review.</x:v>
      </x:c>
      <x:c r="AG1069" s="9" t="str">
        <x:v>PlayStation 2, Japan (SLPM-65058; verify)</x:v>
      </x:c>
      <x:c r="AH1069" s="9" t="str">
        <x:v>No</x:v>
      </x:c>
      <x:c r="AI1069" s="9" t="str">
        <x:v>Import</x:v>
      </x:c>
      <x:c r="AJ1069" s="9" t="str">
        <x:v>Original discs on a Japanese or modded PS2; PCSX2 plays the discs</x:v>
      </x:c>
      <x:c r="AK1069" s="9" t="str">
        <x:v>Facts from MobyGames and weblio; in Japanese throughout.</x:v>
      </x:c>
      <x:c r="AL1069" s="10"/>
      <x:c r="AM1069" s="10"/>
      <x:c r="AN1069" s="10"/>
      <x:c r="AO1069" s="9"/>
      <x:c r="AP1069" s="11" t="str">
        <x:f>HYPERLINK("https://www.pricecharting.com/search-products?q=The+Fear&amp;type=prices","PriceCharting")</x:f>
        <x:v>PriceCharting</x:v>
      </x:c>
      <x:c r="AQ1069" s="9"/>
      <x:c r="AR1069" s="9"/>
      <x:c r="AS1069" s="9"/>
      <x:c r="AT1069" s="9"/>
      <x:c r="AU1069" s="9"/>
      <x:c r="AV1069" s="9"/>
      <x:c r="AW1069" s="9"/>
      <x:c r="AX1069" s="9"/>
      <x:c r="AY1069" s="9"/>
      <x:c r="AZ1069" s="9" t="str">
        <x:v>4.3</x:v>
      </x:c>
      <x:c r="BA1069" s="11" t="str">
        <x:f>HYPERLINK("https://www.mobygames.com/game/ps2/fear","MobyGames")</x:f>
        <x:v>MobyGames</x:v>
      </x:c>
      <x:c r="BB1069" s="9" t="str"/>
      <x:c r="BC1069" s="9" t="str"/>
      <x:c r="BD1069" s="9"/>
      <x:c r="BE1069" s="9"/>
      <x:c r="BF1069" s="11" t="str">
        <x:f>HYPERLINK("https://backloggd.com/search/games/The%20Fear/","Backloggd")</x:f>
        <x:v>Backloggd</x:v>
      </x:c>
      <x:c r="BG1069" s="9"/>
      <x:c r="BH1069" s="9"/>
      <x:c r="BI1069" s="12" t="str">
        <x:v>No</x:v>
      </x:c>
      <x:c r="BJ1069" s="12" t="str"/>
      <x:c r="BK1069" s="12" t="str">
        <x:v>No</x:v>
      </x:c>
      <x:c r="BL1069" s="12" t="str"/>
      <x:c r="BM1069" s="12" t="str"/>
      <x:c r="BN1069" s="12" t="str"/>
      <x:c r="BO1069" s="12" t="str"/>
      <x:c r="BP1069" s="12" t="str"/>
      <x:c r="BQ1069" s="12" t="str"/>
    </x:row>
    <x:row r="1070">
      <x:c r="A1070" s="9" t="str">
        <x:v>console-3</x:v>
      </x:c>
      <x:c r="B1070" s="9" t="str">
        <x:v>blood-the-last-vampire</x:v>
      </x:c>
      <x:c r="C1070" s="9" t="str">
        <x:v>Later consoles</x:v>
      </x:c>
      <x:c r="D1070" s="9" t="str">
        <x:v>Blood: The Last Vampire</x:v>
      </x:c>
      <x:c r="E1070" s="9" t="str">
        <x:v>Yarudora Series Vol. 5: Blood: The Last Vampire (PSP)</x:v>
      </x:c>
      <x:c r="F1070" s="9" t="str">
        <x:v>Production I.G; Sony Computer Entertainment Japan</x:v>
      </x:c>
      <x:c r="G1070" s="9" t="str">
        <x:v>Sony Computer Entertainment</x:v>
      </x:c>
      <x:c r="H1070" s="9" t="n">
        <x:v>2000</x:v>
      </x:c>
      <x:c r="I1070" s="9" t="str">
        <x:v>No</x:v>
      </x:c>
      <x:c r="J1070" s="9" t="str">
        <x:v>Yes</x:v>
      </x:c>
      <x:c r="K1070" s="9" t="str">
        <x:v>No</x:v>
      </x:c>
      <x:c r="L1070" s="9" t="str">
        <x:v>No</x:v>
      </x:c>
      <x:c r="M1070" s="9" t="str">
        <x:v>Interactive anime (Yarudora)</x:v>
      </x:c>
      <x:c r="N1070" s="9" t="str">
        <x:v>Animated</x:v>
      </x:c>
      <x:c r="O1070" s="9" t="n">
        <x:v>8</x:v>
      </x:c>
      <x:c r="P1070" s="9" t="str">
        <x:v>FMV adventure</x:v>
      </x:c>
      <x:c r="Q1070" s="9" t="str">
        <x:v>Released</x:v>
      </x:c>
      <x:c r="R1070" s="9" t="str">
        <x:v>Original production</x:v>
      </x:c>
      <x:c r="S1070" s="9" t="str">
        <x:v>None</x:v>
      </x:c>
      <x:c r="T1070" s="9" t="str">
        <x:v>Youki Kudoh as Saya; score by Yuki Kajiura</x:v>
      </x:c>
      <x:c r="U1070" s="9" t="n">
        <x:v>2</x:v>
      </x:c>
      <x:c r="V1070" s="9" t="str">
        <x:v>Yes</x:v>
      </x:c>
      <x:c r="W1070" s="9" t="str">
        <x:v>PlayStation 2; memory card. PSP (2006) for the combined release</x:v>
      </x:c>
      <x:c r="X1070" s="9" t="str">
        <x:v>Med</x:v>
      </x:c>
      <x:c r="Y1070" s="9" t="str">
        <x:v>Production I.G footage and Kajiura score</x:v>
      </x:c>
      <x:c r="Z1070" s="9" t="str">
        <x:v>3–4 hr per volume</x:v>
      </x:c>
      <x:c r="AA1070" s="9" t="str">
        <x:v>Production I.G's continuation of the 2000 film as a two-volume Yarudora: over two hours of theatre-quality animation steered by your choices, Saya hunting Chiropterans in 2000 Tokyo.</x:v>
      </x:c>
      <x:c r="AB1070" s="9" t="str">
        <x:v>None known</x:v>
      </x:c>
      <x:c r="AC1070" s="9" t="str">
        <x:v>Over two hours of animation across the two volumes, branching on choices in the Yarudora manner</x:v>
      </x:c>
      <x:c r="AD1070" s="9" t="str">
        <x:v>Easy; flowchart in the PSP version</x:v>
      </x:c>
      <x:c r="AE1070" s="9" t="str">
        <x:v>Several per volume</x:v>
      </x:c>
      <x:c r="AF1070" s="9" t="str">
        <x:v>Famitsu 33/40 for the first volume. Animerica's reviewer called it boring but beautifully animated. The PSP release (26 January 2006) combines both volumes with a flowchart, gallery and exclusive films.</x:v>
      </x:c>
      <x:c r="AG1070" s="9" t="str">
        <x:v>PS2 Jōkan and Gekan (21 December 2000, two discs sold apart); PSP combined edition (2006)</x:v>
      </x:c>
      <x:c r="AH1070" s="9" t="str">
        <x:v>No</x:v>
      </x:c>
      <x:c r="AI1070" s="9" t="str">
        <x:v>Import</x:v>
      </x:c>
      <x:c r="AJ1070" s="9" t="str">
        <x:v>Original PS2 discs on a Japanese or modded PS2 (PCSX2); the PSP UMD on a PSP or in PPSSPP</x:v>
      </x:c>
      <x:c r="AK1070" s="9" t="str">
        <x:v>One record for the two volumes; the PS1 Yarudora games have their own records.</x:v>
      </x:c>
      <x:c r="AL1070" s="10" t="n">
        <x:v>11.56</x:v>
      </x:c>
      <x:c r="AM1070" s="10" t="n">
        <x:v>16.27</x:v>
      </x:c>
      <x:c r="AN1070" s="10" t="n">
        <x:v>39.31</x:v>
      </x:c>
      <x:c r="AO1070" s="9" t="str">
        <x:v>2026-10-25</x:v>
      </x:c>
      <x:c r="AP1070" s="11" t="str">
        <x:f>HYPERLINK("https://www.pricecharting.com/game/jp-playstation-2/blood-the-last-vampire","PriceCharting")</x:f>
        <x:v>PriceCharting</x:v>
      </x:c>
      <x:c r="AQ1070" s="9"/>
      <x:c r="AR1070" s="9"/>
      <x:c r="AS1070" s="9"/>
      <x:c r="AT1070" s="9"/>
      <x:c r="AU1070" s="9"/>
      <x:c r="AV1070" s="9"/>
      <x:c r="AW1070" s="9"/>
      <x:c r="AX1070" s="9"/>
      <x:c r="AY1070" s="9"/>
      <x:c r="AZ1070" s="9"/>
      <x:c r="BA1070" s="11" t="str">
        <x:f>HYPERLINK("https://www.mobygames.com/search/?q=Blood%3A+The+Last+Vampire","MobyGames")</x:f>
        <x:v>MobyGames</x:v>
      </x:c>
      <x:c r="BB1070" s="9" t="str">
        <x:v>83%</x:v>
      </x:c>
      <x:c r="BC1070" s="9" t="str">
        <x:v>Famitsu 33/40 (Vol. 1)</x:v>
      </x:c>
      <x:c r="BD1070" s="9" t="str">
        <x:f>HYPERLINK("https://en.wikipedia.org/wiki/Blood:_The_Last_Vampire_(video_game)","Source")</x:f>
        <x:v>Source</x:v>
      </x:c>
      <x:c r="BE1070" s="11" t="str">
        <x:f>HYPERLINK("https://en.wikipedia.org/wiki/Blood:_The_Last_Vampire_(video_game)","Wikipedia")</x:f>
        <x:v>Wikipedia</x:v>
      </x:c>
      <x:c r="BF1070" s="11" t="str">
        <x:f>HYPERLINK("https://backloggd.com/search/games/Blood%3A%20The%20Last%20Vampire/","Backloggd")</x:f>
        <x:v>Backloggd</x:v>
      </x:c>
      <x:c r="BG1070" s="9"/>
      <x:c r="BH1070" s="9"/>
      <x:c r="BI1070" s="12" t="str">
        <x:v>No</x:v>
      </x:c>
      <x:c r="BJ1070" s="12" t="str"/>
      <x:c r="BK1070" s="12" t="str">
        <x:v>No</x:v>
      </x:c>
      <x:c r="BL1070" s="12" t="str"/>
      <x:c r="BM1070" s="12" t="str"/>
      <x:c r="BN1070" s="12" t="str"/>
      <x:c r="BO1070" s="12" t="str"/>
      <x:c r="BP1070" s="12" t="str"/>
      <x:c r="BQ1070" s="12" t="str"/>
    </x:row>
    <x:row r="1071">
      <x:c r="A1071" s="9" t="str">
        <x:v>console-4</x:v>
      </x:c>
      <x:c r="B1071" s="9" t="str">
        <x:v>scene-it-lights-camera-action</x:v>
      </x:c>
      <x:c r="C1071" s="9" t="str">
        <x:v>Later consoles</x:v>
      </x:c>
      <x:c r="D1071" s="9" t="str">
        <x:v>Scene It? Lights, Camera, Action</x:v>
      </x:c>
      <x:c r="E1071" s="9" t="str"/>
      <x:c r="F1071" s="9" t="str">
        <x:v>Screenlife Games; WXP</x:v>
      </x:c>
      <x:c r="G1071" s="9" t="str">
        <x:v>Microsoft Game Studios</x:v>
      </x:c>
      <x:c r="H1071" s="9" t="n">
        <x:v>2007</x:v>
      </x:c>
      <x:c r="I1071" s="9" t="str">
        <x:v>Yes</x:v>
      </x:c>
      <x:c r="J1071" s="9" t="str">
        <x:v>No</x:v>
      </x:c>
      <x:c r="K1071" s="9" t="str">
        <x:v>Yes</x:v>
      </x:c>
      <x:c r="L1071" s="9" t="str">
        <x:v>No</x:v>
      </x:c>
      <x:c r="M1071" s="9" t="str">
        <x:v>Movie-clip trivia party game</x:v>
      </x:c>
      <x:c r="N1071" s="9" t="str">
        <x:v>Film footage</x:v>
      </x:c>
      <x:c r="O1071" s="9" t="n">
        <x:v>8</x:v>
      </x:c>
      <x:c r="P1071" s="9" t="str">
        <x:v>Game show / trivia</x:v>
      </x:c>
      <x:c r="Q1071" s="9" t="str">
        <x:v>Released</x:v>
      </x:c>
      <x:c r="R1071" s="9" t="str">
        <x:v>Original production</x:v>
      </x:c>
      <x:c r="S1071" s="9" t="str">
        <x:v>None</x:v>
      </x:c>
      <x:c r="T1071" s="9" t="str">
        <x:v>Clips from licensed Hollywood films; no host</x:v>
      </x:c>
      <x:c r="U1071" s="9" t="n">
        <x:v>1</x:v>
      </x:c>
      <x:c r="V1071" s="9" t="str">
        <x:v>Yes</x:v>
      </x:c>
      <x:c r="W1071" s="9" t="str">
        <x:v>Xbox 360 with the four bundled Big Button Pads and their infrared receiver</x:v>
      </x:c>
      <x:c r="X1071" s="9" t="str">
        <x:v>HIGH</x:v>
      </x:c>
      <x:c r="Y1071" s="9" t="str">
        <x:v>Licensed studio film clips in most questions</x:v>
      </x:c>
      <x:c r="Z1071" s="9" t="str">
        <x:v>30–45 min per game</x:v>
      </x:c>
      <x:c r="AA1071" s="9" t="str">
        <x:v>The DVD board game as an Xbox 360 party game with four big buzzers in the box: movie clips, then the questions.</x:v>
      </x:c>
      <x:c r="AB1071" s="9" t="str">
        <x:v>None known</x:v>
      </x:c>
      <x:c r="AC1071" s="9" t="str">
        <x:v>Licensed film clips in full screen with the puzzle types of the DVD game (Anagrams, Pictogram, Sequence) in between</x:v>
      </x:c>
      <x:c r="AD1071" s="9" t="str">
        <x:v>Depends on film knowledge</x:v>
      </x:c>
      <x:c r="AE1071" s="9" t="str">
        <x:v>None; highest score wins</x:v>
      </x:c>
      <x:c r="AF1071" s="9" t="str">
        <x:v>Metacritic 73 from 41 reviews, GameRankings 73.56%; nominated for the 2007 AIAS Family Game of the Year. The pads use infrared, so a sensor add-on connects all four.</x:v>
      </x:c>
      <x:c r="AG1071" s="9" t="str">
        <x:v>Box Office Smash (2008, Xbox 360, with Avatars); Bright Lights! Big Screen! (2009, Xbox 360, PS3, Wii); Twilight (2009); Movie Night (2011, Xbox 360, PS3)</x:v>
      </x:c>
      <x:c r="AH1071" s="9" t="str">
        <x:v>No</x:v>
      </x:c>
      <x:c r="AI1071" s="9" t="str">
        <x:v>Easy</x:v>
      </x:c>
      <x:c r="AJ1071" s="9" t="str">
        <x:v>Original disc on an Xbox 360 (not backward compatible on Xbox One; verify); the pads are needed</x:v>
      </x:c>
      <x:c r="AK1071" s="9" t="str">
        <x:v>One record for the console series with the sequels as variants, like the DVD record (dvd-16, gameId scene-it).</x:v>
      </x:c>
      <x:c r="AL1071" s="10" t="n">
        <x:v>7.02</x:v>
      </x:c>
      <x:c r="AM1071" s="10" t="n">
        <x:v>15.22</x:v>
      </x:c>
      <x:c r="AN1071" s="10" t="n">
        <x:v>30.4</x:v>
      </x:c>
      <x:c r="AO1071" s="9" t="str">
        <x:v>2026-10-25</x:v>
      </x:c>
      <x:c r="AP1071" s="11" t="str">
        <x:f>HYPERLINK("https://www.pricecharting.com/game/xbox-360/scene-it-lights-camera-action","PriceCharting")</x:f>
        <x:v>PriceCharting</x:v>
      </x:c>
      <x:c r="AQ1071" s="9"/>
      <x:c r="AR1071" s="9"/>
      <x:c r="AS1071" s="9"/>
      <x:c r="AT1071" s="9"/>
      <x:c r="AU1071" s="9"/>
      <x:c r="AV1071" s="9"/>
      <x:c r="AW1071" s="9"/>
      <x:c r="AX1071" s="9"/>
      <x:c r="AY1071" s="9"/>
      <x:c r="AZ1071" s="9"/>
      <x:c r="BA1071" s="11" t="str">
        <x:f>HYPERLINK("https://www.mobygames.com/search/?q=Scene+It%3F+Lights%2C+Camera%2C+Action","MobyGames")</x:f>
        <x:v>MobyGames</x:v>
      </x:c>
      <x:c r="BB1071" s="9" t="str">
        <x:v>73%</x:v>
      </x:c>
      <x:c r="BC1071" s="9" t="str">
        <x:v>Metacritic (41 reviews)</x:v>
      </x:c>
      <x:c r="BD1071" s="9" t="str">
        <x:f>HYPERLINK("https://en.wikipedia.org/wiki/Scene_It%3F_Lights,_Camera,_Action","Source")</x:f>
        <x:v>Source</x:v>
      </x:c>
      <x:c r="BE1071" s="11" t="str">
        <x:f>HYPERLINK("https://en.wikipedia.org/wiki/Scene_It%3F_Lights,_Camera,_Action","Wikipedia")</x:f>
        <x:v>Wikipedia</x:v>
      </x:c>
      <x:c r="BF1071" s="11" t="str">
        <x:f>HYPERLINK("https://backloggd.com/search/games/Scene%20It%3F%20Lights%2C%20Camera%2C%20Action/","Backloggd")</x:f>
        <x:v>Backloggd</x:v>
      </x:c>
      <x:c r="BG1071" s="9"/>
      <x:c r="BH1071" s="9"/>
      <x:c r="BI1071" s="12" t="str">
        <x:v>No</x:v>
      </x:c>
      <x:c r="BJ1071" s="12" t="str"/>
      <x:c r="BK1071" s="12" t="str">
        <x:v>No</x:v>
      </x:c>
      <x:c r="BL1071" s="12" t="str"/>
      <x:c r="BM1071" s="12" t="str"/>
      <x:c r="BN1071" s="12" t="str"/>
      <x:c r="BO1071" s="12" t="str"/>
      <x:c r="BP1071" s="12" t="str"/>
      <x:c r="BQ1071" s="12" t="str"/>
    </x:row>
    <x:row r="1072">
      <x:c r="A1072" s="9" t="str">
        <x:v>console-5</x:v>
      </x:c>
      <x:c r="B1072" s="9" t="str">
        <x:v>guitar-hero-live</x:v>
      </x:c>
      <x:c r="C1072" s="9" t="str">
        <x:v>Later consoles</x:v>
      </x:c>
      <x:c r="D1072" s="9" t="str">
        <x:v>Guitar Hero Live</x:v>
      </x:c>
      <x:c r="E1072" s="9" t="str"/>
      <x:c r="F1072" s="9" t="str">
        <x:v>FreeStyleGames</x:v>
      </x:c>
      <x:c r="G1072" s="9" t="str">
        <x:v>Activision</x:v>
      </x:c>
      <x:c r="H1072" s="9" t="n">
        <x:v>2015</x:v>
      </x:c>
      <x:c r="I1072" s="9" t="str">
        <x:v>Yes</x:v>
      </x:c>
      <x:c r="J1072" s="9" t="str">
        <x:v>No</x:v>
      </x:c>
      <x:c r="K1072" s="9" t="str">
        <x:v>Yes</x:v>
      </x:c>
      <x:c r="L1072" s="9" t="str">
        <x:v>No</x:v>
      </x:c>
      <x:c r="M1072" s="9" t="str">
        <x:v>Rhythm game over live-action video</x:v>
      </x:c>
      <x:c r="N1072" s="9" t="str">
        <x:v>Live-action</x:v>
      </x:c>
      <x:c r="O1072" s="9" t="n">
        <x:v>7</x:v>
      </x:c>
      <x:c r="P1072" s="9" t="str">
        <x:v>Interactive movie</x:v>
      </x:c>
      <x:c r="Q1072" s="9" t="str">
        <x:v>Released</x:v>
      </x:c>
      <x:c r="R1072" s="9" t="str">
        <x:v>Original production</x:v>
      </x:c>
      <x:c r="S1072" s="9" t="str">
        <x:v>None</x:v>
      </x:c>
      <x:c r="T1072" s="9" t="str">
        <x:v>Session musicians as ten fictional bands, crowds of 200–400 green-screen extras</x:v>
      </x:c>
      <x:c r="U1072" s="9" t="n">
        <x:v>1</x:v>
      </x:c>
      <x:c r="V1072" s="9" t="str">
        <x:v>Yes</x:v>
      </x:c>
      <x:c r="W1072" s="9" t="str">
        <x:v>Six-button Guitar Hero Live controller; PS3, PS4, Wii U, Xbox 360 or Xbox One</x:v>
      </x:c>
      <x:c r="X1072" s="9" t="str">
        <x:v>HIGH</x:v>
      </x:c>
      <x:c r="Y1072" s="9" t="str">
        <x:v>Licensed songs throughout</x:v>
      </x:c>
      <x:c r="Z1072" s="9" t="str">
        <x:v>3–4 hr for the GH Live sets</x:v>
      </x:c>
      <x:c r="AA1072" s="9" t="str">
        <x:v>Guitar Hero reborn as first-person FMV: you play on a filmed stage and the band and the crowd turn on you when you miss, the largest live-action game shoot of the 2010s.</x:v>
      </x:c>
      <x:c r="AB1072" s="9" t="str">
        <x:v>None known</x:v>
      </x:c>
      <x:c r="AC1072" s="9" t="str">
        <x:v>First-person live-action concert footage shot with a robotic camera on a 30-foot track in an Oxford warehouse; the crowd and band switch between cheering and jeering with your play</x:v>
      </x:c>
      <x:c r="AD1072" s="9" t="str">
        <x:v>Adjustable; the six-button neck is the challenge</x:v>
      </x:c>
      <x:c r="AE1072" s="9" t="str">
        <x:v>None</x:v>
      </x:c>
      <x:c r="AF1072" s="9" t="str">
        <x:v>GHTV, the streamed half with 484 songs, shut down on 1 December 2018, leaving the 42 on-disc songs; the iOS version was delisted with it. A class action over the shutdown was dismissed and Activision offered refunds in 2019.</x:v>
      </x:c>
      <x:c r="AG1072" s="9" t="str">
        <x:v>PS3, PS4, Wii U, Xbox 360, Xbox One (October 2015); iOS (delisted)</x:v>
      </x:c>
      <x:c r="AH1072" s="9" t="str">
        <x:v>No</x:v>
      </x:c>
      <x:c r="AI1072" s="9" t="str">
        <x:v>Easy</x:v>
      </x:c>
      <x:c r="AJ1072" s="9" t="str">
        <x:v>Original disc and a Guitar Hero Live controller on PS4 or Xbox One (the console versions still play GH Live mode); the PS4 disc also runs on PS5 (verify)</x:v>
      </x:c>
      <x:c r="AK1072" s="9" t="str">
        <x:v>In as the one mainstream live-action FMV game of the 2010s on consoles; the on-disc career survives the GHTV shutdown.</x:v>
      </x:c>
      <x:c r="AL1072" s="10" t="n">
        <x:v>10.99</x:v>
      </x:c>
      <x:c r="AM1072" s="10" t="n">
        <x:v>15.79</x:v>
      </x:c>
      <x:c r="AN1072" s="10" t="n">
        <x:v>21</x:v>
      </x:c>
      <x:c r="AO1072" s="9" t="str">
        <x:v>2026-10-25</x:v>
      </x:c>
      <x:c r="AP1072" s="11" t="str">
        <x:f>HYPERLINK("https://www.pricecharting.com/game/playstation-4/guitar-hero-live-game-only","PriceCharting")</x:f>
        <x:v>PriceCharting</x:v>
      </x:c>
      <x:c r="AQ1072" s="9"/>
      <x:c r="AR1072" s="9"/>
      <x:c r="AS1072" s="9"/>
      <x:c r="AT1072" s="9"/>
      <x:c r="AU1072" s="9"/>
      <x:c r="AV1072" s="9"/>
      <x:c r="AW1072" s="9"/>
      <x:c r="AX1072" s="9"/>
      <x:c r="AY1072" s="9"/>
      <x:c r="AZ1072" s="9"/>
      <x:c r="BA1072" s="11" t="str">
        <x:f>HYPERLINK("https://www.mobygames.com/search/?q=Guitar+Hero+Live","MobyGames")</x:f>
        <x:v>MobyGames</x:v>
      </x:c>
      <x:c r="BB1072" s="9" t="str">
        <x:v>80%</x:v>
      </x:c>
      <x:c r="BC1072" s="9" t="str">
        <x:v>Metacritic (PS4, 69 reviews)</x:v>
      </x:c>
      <x:c r="BD1072" s="9" t="str">
        <x:f>HYPERLINK("https://en.wikipedia.org/wiki/Guitar_Hero_Live","Source")</x:f>
        <x:v>Source</x:v>
      </x:c>
      <x:c r="BE1072" s="11" t="str">
        <x:f>HYPERLINK("https://en.wikipedia.org/wiki/Guitar_Hero_Live","Wikipedia")</x:f>
        <x:v>Wikipedia</x:v>
      </x:c>
      <x:c r="BF1072" s="11" t="str">
        <x:f>HYPERLINK("https://backloggd.com/search/games/Guitar%20Hero%20Live/","Backloggd")</x:f>
        <x:v>Backloggd</x:v>
      </x:c>
      <x:c r="BG1072" s="9"/>
      <x:c r="BH1072" s="9"/>
      <x:c r="BI1072" s="12" t="str">
        <x:v>No</x:v>
      </x:c>
      <x:c r="BJ1072" s="12" t="str"/>
      <x:c r="BK1072" s="12" t="str">
        <x:v>No</x:v>
      </x:c>
      <x:c r="BL1072" s="12" t="str"/>
      <x:c r="BM1072" s="12" t="str"/>
      <x:c r="BN1072" s="12" t="str"/>
      <x:c r="BO1072" s="12" t="str"/>
      <x:c r="BP1072" s="12" t="str"/>
      <x:c r="BQ1072" s="12" t="str"/>
    </x:row>
    <x:row r="1073">
      <x:c r="A1073" s="9" t="str">
        <x:v>console-6</x:v>
      </x:c>
      <x:c r="B1073" s="9" t="str">
        <x:v>closed-nightmare</x:v>
      </x:c>
      <x:c r="C1073" s="9" t="str">
        <x:v>Later consoles</x:v>
      </x:c>
      <x:c r="D1073" s="9" t="str">
        <x:v>Closed Nightmare</x:v>
      </x:c>
      <x:c r="E1073" s="9" t="str">
        <x:v>クローズド・ナイトメア</x:v>
      </x:c>
      <x:c r="F1073" s="9" t="str">
        <x:v>Nippon Ichi Software</x:v>
      </x:c>
      <x:c r="G1073" s="9" t="str">
        <x:v>Nippon Ichi Software (JP); Sega (Asia); IntraGames (KR)</x:v>
      </x:c>
      <x:c r="H1073" s="9" t="n">
        <x:v>2018</x:v>
      </x:c>
      <x:c r="I1073" s="9" t="str">
        <x:v>No</x:v>
      </x:c>
      <x:c r="J1073" s="9" t="str">
        <x:v>Yes</x:v>
      </x:c>
      <x:c r="K1073" s="9" t="str">
        <x:v>No</x:v>
      </x:c>
      <x:c r="L1073" s="9" t="str">
        <x:v>No</x:v>
      </x:c>
      <x:c r="M1073" s="9" t="str">
        <x:v>Live-action horror adventure</x:v>
      </x:c>
      <x:c r="N1073" s="9" t="str">
        <x:v>Live-action</x:v>
      </x:c>
      <x:c r="O1073" s="9" t="n">
        <x:v>8</x:v>
      </x:c>
      <x:c r="P1073" s="9" t="str">
        <x:v>Interactive movie</x:v>
      </x:c>
      <x:c r="Q1073" s="9" t="str">
        <x:v>Released</x:v>
      </x:c>
      <x:c r="R1073" s="9" t="str">
        <x:v>Original production</x:v>
      </x:c>
      <x:c r="S1073" s="9" t="str">
        <x:v>None</x:v>
      </x:c>
      <x:c r="T1073" s="9" t="str">
        <x:v>Japanese cast playing Maria Kamishiro, Chizuru, Eito Ginjo and Jun Yagi (performers not listed)</x:v>
      </x:c>
      <x:c r="U1073" s="9" t="n">
        <x:v>1</x:v>
      </x:c>
      <x:c r="V1073" s="9" t="str">
        <x:v>Yes</x:v>
      </x:c>
      <x:c r="W1073" s="9" t="str">
        <x:v>PlayStation 4 or Nintendo Switch</x:v>
      </x:c>
      <x:c r="X1073" s="9" t="str">
        <x:v>Low</x:v>
      </x:c>
      <x:c r="Y1073" s="9" t="str"/>
      <x:c r="Z1073" s="9" t="str">
        <x:v>6–8 hr</x:v>
      </x:c>
      <x:c r="AA1073" s="9" t="str">
        <x:v>Nippon Ichi's live-action horror: first-person filmed scenes of a woman waking in a facility with an alarm on her wrist, split by text choices and exploration puzzles.</x:v>
      </x:c>
      <x:c r="AB1073" s="9" t="str">
        <x:v>None known</x:v>
      </x:c>
      <x:c r="AC1073" s="9" t="str">
        <x:v>Live-action first-person movie segments alternating with text choices, exploration and gimmick puzzles solved with clues found while exploring</x:v>
      </x:c>
      <x:c r="AD1073" s="9" t="str">
        <x:v>Moderate</x:v>
      </x:c>
      <x:c r="AE1073" s="9" t="str">
        <x:v>Several</x:v>
      </x:c>
      <x:c r="AF1073" s="9" t="str">
        <x:v>Revealed in January 2018 as 'project Nightmare'; released 19 July 2018 in Japan and Asia (Chinese subtitles) and in Korea. A 360° Escape Game phone promo gave copies to anyone who finished in 15 seconds.</x:v>
      </x:c>
      <x:c r="AG1073" s="9" t="str">
        <x:v>PS4 and Switch, Japan and Asia; no English release</x:v>
      </x:c>
      <x:c r="AH1073" s="9" t="str">
        <x:v>No</x:v>
      </x:c>
      <x:c r="AI1073" s="9" t="str">
        <x:v>Import</x:v>
      </x:c>
      <x:c r="AJ1073" s="9" t="str">
        <x:v>Japanese or Asian disc or cartridge (both consoles are region free for physical games); Japanese text</x:v>
      </x:c>
      <x:c r="AK1073" s="9" t="str">
        <x:v>Facts from Wikipedia; in Japanese only.</x:v>
      </x:c>
      <x:c r="AL1073" s="10"/>
      <x:c r="AM1073" s="10"/>
      <x:c r="AN1073" s="10"/>
      <x:c r="AO1073" s="9"/>
      <x:c r="AP1073" s="11" t="str">
        <x:f>HYPERLINK("https://www.pricecharting.com/game/jp-nintendo-switch/closed-nightmare","PriceCharting")</x:f>
        <x:v>PriceCharting</x:v>
      </x:c>
      <x:c r="AQ1073" s="9"/>
      <x:c r="AR1073" s="9"/>
      <x:c r="AS1073" s="9"/>
      <x:c r="AT1073" s="9"/>
      <x:c r="AU1073" s="9"/>
      <x:c r="AV1073" s="9"/>
      <x:c r="AW1073" s="9"/>
      <x:c r="AX1073" s="9"/>
      <x:c r="AY1073" s="9"/>
      <x:c r="AZ1073" s="9"/>
      <x:c r="BA1073" s="11" t="str">
        <x:f>HYPERLINK("https://www.mobygames.com/search/?q=Closed+Nightmare","MobyGames")</x:f>
        <x:v>MobyGames</x:v>
      </x:c>
      <x:c r="BB1073" s="9" t="str"/>
      <x:c r="BC1073" s="9" t="str"/>
      <x:c r="BD1073" s="9"/>
      <x:c r="BE1073" s="11" t="str">
        <x:f>HYPERLINK("https://en.wikipedia.org/wiki/Closed_Nightmare","Wikipedia")</x:f>
        <x:v>Wikipedia</x:v>
      </x:c>
      <x:c r="BF1073" s="11" t="str">
        <x:f>HYPERLINK("https://backloggd.com/search/games/Closed%20Nightmare/","Backloggd")</x:f>
        <x:v>Backloggd</x:v>
      </x:c>
      <x:c r="BG1073" s="9"/>
      <x:c r="BH1073" s="9"/>
      <x:c r="BI1073" s="12" t="str">
        <x:v>No</x:v>
      </x:c>
      <x:c r="BJ1073" s="12" t="str"/>
      <x:c r="BK1073" s="12" t="str">
        <x:v>No</x:v>
      </x:c>
      <x:c r="BL1073" s="12" t="str"/>
      <x:c r="BM1073" s="12" t="str"/>
      <x:c r="BN1073" s="12" t="str"/>
      <x:c r="BO1073" s="12" t="str"/>
      <x:c r="BP1073" s="12" t="str"/>
      <x:c r="BQ1073" s="12" t="str"/>
    </x:row>
    <x:row r="1074">
      <x:c r="A1074" s="9" t="str">
        <x:v>dvd-26</x:v>
      </x:c>
      <x:c r="B1074" s="9" t="str">
        <x:v>point-of-view</x:v>
      </x:c>
      <x:c r="C1074" s="9" t="str">
        <x:v>DVD</x:v>
      </x:c>
      <x:c r="D1074" s="9" t="str">
        <x:v>Point of View</x:v>
      </x:c>
      <x:c r="E1074" s="9" t="str">
        <x:v>Point of View: An Interactive Movie; working title The Watcher</x:v>
      </x:c>
      <x:c r="F1074" s="9" t="str">
        <x:v>Aftermath Media (David Wheeler)</x:v>
      </x:c>
      <x:c r="G1074" s="9" t="str">
        <x:v>Aftermath Media; Digital Leisure (verify)</x:v>
      </x:c>
      <x:c r="H1074" s="9" t="n">
        <x:v>2001</x:v>
      </x:c>
      <x:c r="I1074" s="9" t="str">
        <x:v>Yes</x:v>
      </x:c>
      <x:c r="J1074" s="9" t="str">
        <x:v>No</x:v>
      </x:c>
      <x:c r="K1074" s="9" t="str">
        <x:v>Yes</x:v>
      </x:c>
      <x:c r="L1074" s="9" t="str">
        <x:v>No</x:v>
      </x:c>
      <x:c r="M1074" s="9" t="str">
        <x:v>Interactive DVD film</x:v>
      </x:c>
      <x:c r="N1074" s="9" t="str">
        <x:v>Live-action</x:v>
      </x:c>
      <x:c r="O1074" s="9" t="n">
        <x:v>10</x:v>
      </x:c>
      <x:c r="P1074" s="9" t="str">
        <x:v>Interactive movie</x:v>
      </x:c>
      <x:c r="Q1074" s="9" t="str">
        <x:v>Released</x:v>
      </x:c>
      <x:c r="R1074" s="9" t="str">
        <x:v>Original production</x:v>
      </x:c>
      <x:c r="S1074" s="9" t="str">
        <x:v>None</x:v>
      </x:c>
      <x:c r="T1074" s="9" t="str">
        <x:v>Stephanie Von Pfetten (Jane), Chris Bradford (Frank), Paul Jarret (the pen-pal)</x:v>
      </x:c>
      <x:c r="U1074" s="9" t="n">
        <x:v>1</x:v>
      </x:c>
      <x:c r="V1074" s="9" t="str">
        <x:v>No</x:v>
      </x:c>
      <x:c r="W1074" s="9" t="str">
        <x:v>Any DVD player (remote)</x:v>
      </x:c>
      <x:c r="X1074" s="9" t="str">
        <x:v>Low</x:v>
      </x:c>
      <x:c r="Y1074" s="9" t="str"/>
      <x:c r="Z1074" s="9" t="str">
        <x:v>90–120 min</x:v>
      </x:c>
      <x:c r="AA1074" s="9" t="str">
        <x:v>David Wheeler's follow-up to Tender Loving Care: a twelve-chapter voyeurism drama that asks what you thought after each chapter and recuts the story to match.</x:v>
      </x:c>
      <x:c r="AB1074" s="9" t="str">
        <x:v>None known</x:v>
      </x:c>
      <x:c r="AC1074" s="9" t="str">
        <x:v>A feature film in twelve chapters on DVD; questions after each chapter change the following scenes and the ending; no puzzles or inventory</x:v>
      </x:c>
      <x:c r="AD1074" s="9" t="str">
        <x:v>None</x:v>
      </x:c>
      <x:c r="AE1074" s="9" t="str">
        <x:v>Several, by your answers; only the first chapter never changes</x:v>
      </x:c>
      <x:c r="AF1074" s="9" t="str">
        <x:v>Shot on digital video. DVD Journal found the premise more intriguing than the execution, with changes too minor for any cut to feel definitive. MobyGames 75% from one review.</x:v>
      </x:c>
      <x:c r="AG1074" s="9" t="str">
        <x:v>DVD (2001); a Windows version is credited on MobyGames</x:v>
      </x:c>
      <x:c r="AH1074" s="9" t="str">
        <x:v>No</x:v>
      </x:c>
      <x:c r="AI1074" s="9" t="str">
        <x:v>Easy</x:v>
      </x:c>
      <x:c r="AJ1074" s="9" t="str">
        <x:v>Any region 1 DVD player; a PC DVD drive with a player app works too</x:v>
      </x:c>
      <x:c r="AK1074" s="9" t="str">
        <x:v>Facts from dvdjournal.com and MobyGames. Publisher of the DVD verify.</x:v>
      </x:c>
      <x:c r="AL1074" s="10"/>
      <x:c r="AM1074" s="10"/>
      <x:c r="AN1074" s="10"/>
      <x:c r="AO1074" s="9"/>
      <x:c r="AP1074" s="11" t="str">
        <x:f>HYPERLINK("https://www.pricecharting.com/search-products?q=Point+of+View+dvd&amp;type=prices","PriceCharting")</x:f>
        <x:v>PriceCharting</x:v>
      </x:c>
      <x:c r="AQ1074" s="9"/>
      <x:c r="AR1074" s="9"/>
      <x:c r="AS1074" s="9"/>
      <x:c r="AT1074" s="9"/>
      <x:c r="AU1074" s="9" t="str">
        <x:v>No market</x:v>
      </x:c>
      <x:c r="AV1074" s="9" t="str">
        <x:v>PriceCharting has no DVD game listings and no other price guide tracks these discs.</x:v>
      </x:c>
      <x:c r="AW1074" s="9"/>
      <x:c r="AX1074" s="9"/>
      <x:c r="AY1074" s="9"/>
      <x:c r="AZ1074" s="9"/>
      <x:c r="BA1074" s="11" t="str">
        <x:f>HYPERLINK("https://www.mobygames.com/game/39077/point-of-view/","MobyGames")</x:f>
        <x:v>MobyGames</x:v>
      </x:c>
      <x:c r="BB1074" s="9" t="str">
        <x:v>75%</x:v>
      </x:c>
      <x:c r="BC1074" s="9" t="str">
        <x:v>MobyGames (1 review)</x:v>
      </x:c>
      <x:c r="BD1074" s="9" t="str">
        <x:f>HYPERLINK("https://www.mobygames.com/game/39077/point-of-view/","Source")</x:f>
        <x:v>Source</x:v>
      </x:c>
      <x:c r="BE1074" s="9"/>
      <x:c r="BF1074" s="11" t="str">
        <x:f>HYPERLINK("https://backloggd.com/search/games/Point%20of%20View/","Backloggd")</x:f>
        <x:v>Backloggd</x:v>
      </x:c>
      <x:c r="BG1074" s="9"/>
      <x:c r="BH1074" s="9"/>
      <x:c r="BI1074" s="12" t="str">
        <x:v>No</x:v>
      </x:c>
      <x:c r="BJ1074" s="12" t="str"/>
      <x:c r="BK1074" s="12" t="str">
        <x:v>No</x:v>
      </x:c>
      <x:c r="BL1074" s="12" t="str"/>
      <x:c r="BM1074" s="12" t="str"/>
      <x:c r="BN1074" s="12" t="str"/>
      <x:c r="BO1074" s="12" t="str"/>
      <x:c r="BP1074" s="12" t="str"/>
      <x:c r="BQ1074" s="12" t="str"/>
    </x:row>
    <x:row r="1075">
      <x:c r="A1075" s="9" t="str">
        <x:v>dvd-27</x:v>
      </x:c>
      <x:c r="B1075" s="9" t="str">
        <x:v>tomb-raider-the-action-adventure</x:v>
      </x:c>
      <x:c r="C1075" s="9" t="str">
        <x:v>DVD</x:v>
      </x:c>
      <x:c r="D1075" s="9" t="str">
        <x:v>Tomb Raider: The Action Adventure</x:v>
      </x:c>
      <x:c r="E1075" s="9" t="str"/>
      <x:c r="F1075" s="9" t="str">
        <x:v>Bright Things</x:v>
      </x:c>
      <x:c r="G1075" s="9" t="str">
        <x:v>Bright Things (under licence from Eidos)</x:v>
      </x:c>
      <x:c r="H1075" s="9" t="n">
        <x:v>2006</x:v>
      </x:c>
      <x:c r="I1075" s="9" t="str">
        <x:v>Yes</x:v>
      </x:c>
      <x:c r="J1075" s="9" t="str">
        <x:v>No</x:v>
      </x:c>
      <x:c r="K1075" s="9" t="str">
        <x:v>Yes</x:v>
      </x:c>
      <x:c r="L1075" s="9" t="str">
        <x:v>No</x:v>
      </x:c>
      <x:c r="M1075" s="9" t="str">
        <x:v>Interactive DVD adventure</x:v>
      </x:c>
      <x:c r="N1075" s="9" t="str">
        <x:v>Pre-rendered CG</x:v>
      </x:c>
      <x:c r="O1075" s="9" t="n">
        <x:v>9</x:v>
      </x:c>
      <x:c r="P1075" s="9" t="str">
        <x:v>Pre-rendered CG</x:v>
      </x:c>
      <x:c r="Q1075" s="9" t="str">
        <x:v>Released</x:v>
      </x:c>
      <x:c r="R1075" s="9" t="str">
        <x:v>Original production</x:v>
      </x:c>
      <x:c r="S1075" s="9" t="str">
        <x:v>None</x:v>
      </x:c>
      <x:c r="T1075" s="9" t="str">
        <x:v>Lara Croft (voice verify)</x:v>
      </x:c>
      <x:c r="U1075" s="9" t="n">
        <x:v>1</x:v>
      </x:c>
      <x:c r="V1075" s="9" t="str">
        <x:v>No</x:v>
      </x:c>
      <x:c r="W1075" s="9" t="str">
        <x:v>Any DVD player (remote)</x:v>
      </x:c>
      <x:c r="X1075" s="9" t="str">
        <x:v>Low–Med</x:v>
      </x:c>
      <x:c r="Y1075" s="9" t="str">
        <x:v>Eidos Tomb Raider assets</x:v>
      </x:c>
      <x:c r="Z1075" s="9" t="str">
        <x:v>2–3 hr</x:v>
      </x:c>
      <x:c r="AA1075" s="9" t="str">
        <x:v>Lara Croft on a set-top DVD: the Angel of Darkness story retold as rendered video with remote-control choices and timed button prompts.</x:v>
      </x:c>
      <x:c r="AB1075" s="9" t="str">
        <x:v>None known</x:v>
      </x:c>
      <x:c r="AC1075" s="9" t="str">
        <x:v>Pre-rendered CG cutscenes built from Angel of Darkness assets, with menu choices, quick-time prompts and mini-games driven by the DVD remote</x:v>
      </x:c>
      <x:c r="AD1075" s="9" t="str">
        <x:v>Easy</x:v>
      </x:c>
      <x:c r="AE1075" s="9" t="str">
        <x:v>One, with game overs</x:v>
      </x:c>
      <x:c r="AF1075" s="9" t="str">
        <x:v>Bright Things also made the Ace Ventura, Who Wants to Be a Millionaire and Dragons' Den interactive DVDs. Released in Europe in 2006; the North American release followed (verify).</x:v>
      </x:c>
      <x:c r="AG1075" s="9" t="str">
        <x:v>DVD (PAL and NTSC)</x:v>
      </x:c>
      <x:c r="AH1075" s="9" t="str">
        <x:v>No</x:v>
      </x:c>
      <x:c r="AI1075" s="9" t="str">
        <x:v>Easy</x:v>
      </x:c>
      <x:c r="AJ1075" s="9" t="str">
        <x:v>Any region 1 DVD player; a PC DVD drive with a player app works too</x:v>
      </x:c>
      <x:c r="AK1075" s="9" t="str">
        <x:v>Facts from the Tomb Raider media list and raidingtheglobe.com; the Angel of Darkness PC game is a different production.</x:v>
      </x:c>
      <x:c r="AL1075" s="10"/>
      <x:c r="AM1075" s="10"/>
      <x:c r="AN1075" s="10"/>
      <x:c r="AO1075" s="9"/>
      <x:c r="AP1075" s="11" t="str">
        <x:f>HYPERLINK("https://www.pricecharting.com/search-products?q=Tomb+Raider%3A+The+Action+Adventure+dvd&amp;type=prices","PriceCharting")</x:f>
        <x:v>PriceCharting</x:v>
      </x:c>
      <x:c r="AQ1075" s="9"/>
      <x:c r="AR1075" s="9"/>
      <x:c r="AS1075" s="9"/>
      <x:c r="AT1075" s="9"/>
      <x:c r="AU1075" s="9" t="str">
        <x:v>No market</x:v>
      </x:c>
      <x:c r="AV1075" s="9" t="str">
        <x:v>PriceCharting has no DVD game listings and no other price guide tracks these discs.</x:v>
      </x:c>
      <x:c r="AW1075" s="9"/>
      <x:c r="AX1075" s="9"/>
      <x:c r="AY1075" s="9"/>
      <x:c r="AZ1075" s="9"/>
      <x:c r="BA1075" s="11" t="str">
        <x:f>HYPERLINK("https://www.mobygames.com/search/?q=Tomb+Raider%3A+The+Action+Adventure","MobyGames")</x:f>
        <x:v>MobyGames</x:v>
      </x:c>
      <x:c r="BB1075" s="9" t="str"/>
      <x:c r="BC1075" s="9" t="str"/>
      <x:c r="BD1075" s="9"/>
      <x:c r="BE1075" s="11" t="str">
        <x:f>HYPERLINK("https://en.wikipedia.org/wiki/List_of_Tomb_Raider_media","Wikipedia")</x:f>
        <x:v>Wikipedia</x:v>
      </x:c>
      <x:c r="BF1075" s="11" t="str">
        <x:f>HYPERLINK("https://backloggd.com/search/games/Tomb%20Raider%3A%20The%20Action%20Adventure/","Backloggd")</x:f>
        <x:v>Backloggd</x:v>
      </x:c>
      <x:c r="BG1075" s="9"/>
      <x:c r="BH1075" s="9"/>
      <x:c r="BI1075" s="12" t="str">
        <x:v>No</x:v>
      </x:c>
      <x:c r="BJ1075" s="12" t="str"/>
      <x:c r="BK1075" s="12" t="str">
        <x:v>No</x:v>
      </x:c>
      <x:c r="BL1075" s="12" t="str"/>
      <x:c r="BM1075" s="12" t="str"/>
      <x:c r="BN1075" s="12" t="str"/>
      <x:c r="BO1075" s="12" t="str"/>
      <x:c r="BP1075" s="12" t="str"/>
      <x:c r="BQ1075" s="12" t="str"/>
    </x:row>
    <x:row r="1076">
      <x:c r="A1076" s="9" t="str">
        <x:v>pc-338</x:v>
      </x:c>
      <x:c r="B1076" s="9" t="str">
        <x:v>steins-gate-elite</x:v>
      </x:c>
      <x:c r="C1076" s="9" t="str">
        <x:v>PC</x:v>
      </x:c>
      <x:c r="D1076" s="9" t="str">
        <x:v>Steins;Gate Elite</x:v>
      </x:c>
      <x:c r="E1076" s="9" t="str"/>
      <x:c r="F1076" s="9" t="str">
        <x:v>5pb. (Mages); animation by White Fox</x:v>
      </x:c>
      <x:c r="G1076" s="9" t="str">
        <x:v>Spike Chunsoft</x:v>
      </x:c>
      <x:c r="H1076" s="9" t="n">
        <x:v>2019</x:v>
      </x:c>
      <x:c r="I1076" s="9" t="str">
        <x:v>Yes</x:v>
      </x:c>
      <x:c r="J1076" s="9" t="str">
        <x:v>Yes</x:v>
      </x:c>
      <x:c r="K1076" s="9" t="str">
        <x:v>Yes</x:v>
      </x:c>
      <x:c r="L1076" s="9" t="str">
        <x:v>No</x:v>
      </x:c>
      <x:c r="M1076" s="9" t="str">
        <x:v>Fully animated visual novel</x:v>
      </x:c>
      <x:c r="N1076" s="9" t="str">
        <x:v>Animated</x:v>
      </x:c>
      <x:c r="O1076" s="9" t="n">
        <x:v>8</x:v>
      </x:c>
      <x:c r="P1076" s="9" t="str">
        <x:v>FMV adventure</x:v>
      </x:c>
      <x:c r="Q1076" s="9" t="str">
        <x:v>Released</x:v>
      </x:c>
      <x:c r="R1076" s="9" t="str">
        <x:v>Original production</x:v>
      </x:c>
      <x:c r="S1076" s="9" t="str">
        <x:v>PlayStation 4, Nintendo Switch (2019); Japan 2018 on PS4, Switch and Vita</x:v>
      </x:c>
      <x:c r="T1076" s="9" t="str">
        <x:v>The anime's Japanese voice cast (Mamoru Miyano as Okabe)</x:v>
      </x:c>
      <x:c r="U1076" s="9" t="n">
        <x:v>1</x:v>
      </x:c>
      <x:c r="V1076" s="9" t="str">
        <x:v>Yes</x:v>
      </x:c>
      <x:c r="W1076" s="9" t="str">
        <x:v>Windows (Steam); also PS4, Switch</x:v>
      </x:c>
      <x:c r="X1076" s="9" t="str">
        <x:v>Med</x:v>
      </x:c>
      <x:c r="Y1076" s="9" t="str">
        <x:v>White Fox anime footage and music</x:v>
      </x:c>
      <x:c r="Z1076" s="9" t="str">
        <x:v>30–40 hr</x:v>
      </x:c>
      <x:c r="AA1076" s="9" t="str">
        <x:v>Steins;Gate retold entirely in anime footage: the 2011 series cut to the game's script, with new White Fox animation for the routes the show never covered.</x:v>
      </x:c>
      <x:c r="AB1076" s="9" t="str">
        <x:v>None known</x:v>
      </x:c>
      <x:c r="AC1076" s="9" t="str">
        <x:v>Every scene is animation, from the 2011 anime or newly produced, playing under the full voiced script; branching through the phone trigger system</x:v>
      </x:c>
      <x:c r="AD1076" s="9" t="str">
        <x:v>Easy; branching needs a guide</x:v>
      </x:c>
      <x:c r="AE1076" s="9" t="str">
        <x:v>Six plus bad ends</x:v>
      </x:c>
      <x:c r="AF1076" s="9" t="str">
        <x:v>Japan 2018, worldwide 19 February 2019. The original visual novel (Xbox 360, 2009) has Metacritic 87 on PC; Elite was reviewed well but reviewers debated whether the anime footage improved the novel.</x:v>
      </x:c>
      <x:c r="AG1076" s="9" t="str">
        <x:v>Steam, PS4 and Switch (2019); the Switch version bundled the 8-bit Phenogram spin-off</x:v>
      </x:c>
      <x:c r="AH1076" s="9" t="str">
        <x:v>Yes (Steam, PS4, Switch)</x:v>
      </x:c>
      <x:c r="AI1076" s="9" t="str">
        <x:v>Easy</x:v>
      </x:c>
      <x:c r="AJ1076" s="9" t="str">
        <x:v>Steam, PS4 or Switch</x:v>
      </x:c>
      <x:c r="AK1076" s="9" t="str">
        <x:v>The only visual novel in the index: in because the whole game is streamed animation. The original Steins;Gate (sprites) is not in scope.</x:v>
      </x:c>
      <x:c r="AL1076" s="10"/>
      <x:c r="AM1076" s="10"/>
      <x:c r="AN1076" s="10"/>
      <x:c r="AO1076" s="9"/>
      <x:c r="AP1076" s="11" t="str">
        <x:f>HYPERLINK("https://www.pricecharting.com/search-products?q=Steins%3BGate+Elite+pc+games&amp;type=prices","PriceCharting")</x:f>
        <x:v>PriceCharting</x:v>
      </x:c>
      <x:c r="AQ1076" s="9"/>
      <x:c r="AR1076" s="9"/>
      <x:c r="AS1076" s="9"/>
      <x:c r="AT1076" s="9"/>
      <x:c r="AU1076" s="9" t="str">
        <x:v>No market</x:v>
      </x:c>
      <x:c r="AV1076" s="9" t="str">
        <x:v>Not sold on Steam or GOG (checked 2026-10-25) and no PriceCharting listing.</x:v>
      </x:c>
      <x:c r="AW1076" s="9"/>
      <x:c r="AX1076" s="9"/>
      <x:c r="AY1076" s="9"/>
      <x:c r="AZ1076" s="9"/>
      <x:c r="BA1076" s="11" t="str">
        <x:f>HYPERLINK("https://www.mobygames.com/search/?q=Steins%3BGate+Elite","MobyGames")</x:f>
        <x:v>MobyGames</x:v>
      </x:c>
      <x:c r="BB1076" s="9" t="str">
        <x:v>90%</x:v>
      </x:c>
      <x:c r="BC1076" s="9" t="str">
        <x:v>GameRankings, 1 review</x:v>
      </x:c>
      <x:c r="BD1076" s="9" t="str">
        <x:f>HYPERLINK("https://web.archive.org/web/20191209013956id_/https://www.gamerankings.com/pc/235659-steinsgate-elite/","Source")</x:f>
        <x:v>Source</x:v>
      </x:c>
      <x:c r="BE1076" s="11" t="str">
        <x:f>HYPERLINK("https://en.wikipedia.org/wiki/Steins;Gate_Elite","Wikipedia")</x:f>
        <x:v>Wikipedia</x:v>
      </x:c>
      <x:c r="BF1076" s="11" t="str">
        <x:f>HYPERLINK("https://backloggd.com/search/games/Steins%3BGate%20Elite/","Backloggd")</x:f>
        <x:v>Backloggd</x:v>
      </x:c>
      <x:c r="BG1076" s="9"/>
      <x:c r="BH1076" s="9"/>
      <x:c r="BI1076" s="12" t="str">
        <x:v>No</x:v>
      </x:c>
      <x:c r="BJ1076" s="12" t="str"/>
      <x:c r="BK1076" s="12" t="str">
        <x:v>No</x:v>
      </x:c>
      <x:c r="BL1076" s="12" t="str"/>
      <x:c r="BM1076" s="12" t="str"/>
      <x:c r="BN1076" s="12" t="str"/>
      <x:c r="BO1076" s="12" t="str"/>
      <x:c r="BP1076" s="12" t="str"/>
      <x:c r="BQ1076" s="12" t="str"/>
    </x:row>
    <x:row r="1077">
      <x:c r="A1077" s="9" t="str">
        <x:v>pc-339</x:v>
      </x:c>
      <x:c r="B1077" s="9" t="str">
        <x:v>bureau-13</x:v>
      </x:c>
      <x:c r="C1077" s="9" t="str">
        <x:v>PC</x:v>
      </x:c>
      <x:c r="D1077" s="9" t="str">
        <x:v>Bureau 13</x:v>
      </x:c>
      <x:c r="E1077" s="9" t="str"/>
      <x:c r="F1077" s="9" t="str">
        <x:v>Take-Two Interactive</x:v>
      </x:c>
      <x:c r="G1077" s="9" t="str">
        <x:v>GameTek</x:v>
      </x:c>
      <x:c r="H1077" s="9" t="n">
        <x:v>1995</x:v>
      </x:c>
      <x:c r="I1077" s="9" t="str">
        <x:v>Yes</x:v>
      </x:c>
      <x:c r="J1077" s="9" t="str">
        <x:v>No</x:v>
      </x:c>
      <x:c r="K1077" s="9" t="str">
        <x:v>Yes</x:v>
      </x:c>
      <x:c r="L1077" s="9" t="str">
        <x:v>No</x:v>
      </x:c>
      <x:c r="M1077" s="9" t="str">
        <x:v>Point-and-click adventure with digitised actors</x:v>
      </x:c>
      <x:c r="N1077" s="9" t="str">
        <x:v>Live-action</x:v>
      </x:c>
      <x:c r="O1077" s="9" t="n">
        <x:v>6</x:v>
      </x:c>
      <x:c r="P1077" s="9" t="str">
        <x:v>FMV adventure</x:v>
      </x:c>
      <x:c r="Q1077" s="9" t="str">
        <x:v>Released</x:v>
      </x:c>
      <x:c r="R1077" s="9" t="str">
        <x:v>Original production</x:v>
      </x:c>
      <x:c r="S1077" s="9" t="str">
        <x:v>None</x:v>
      </x:c>
      <x:c r="T1077" s="9" t="str">
        <x:v>Digitised actors over rendered sets (names verify)</x:v>
      </x:c>
      <x:c r="U1077" s="9" t="n">
        <x:v>1</x:v>
      </x:c>
      <x:c r="V1077" s="9" t="str">
        <x:v>Yes</x:v>
      </x:c>
      <x:c r="W1077" s="9" t="str">
        <x:v>MS-DOS, 486, 8 MB RAM, 2x CD-ROM (verify)</x:v>
      </x:c>
      <x:c r="X1077" s="9" t="str">
        <x:v>Low</x:v>
      </x:c>
      <x:c r="Y1077" s="9" t="str"/>
      <x:c r="Z1077" s="9" t="str">
        <x:v>6–8 hr</x:v>
      </x:c>
      <x:c r="AA1077" s="9" t="str">
        <x:v>Take-Two's Stray Souls adventure: two agents of a secret paranormal bureau (pick from a vampire, a witch, a priest, a cyborg and more) chase a rogue agent through a Pennsylvania town, with filmed actors on rendered backgrounds.</x:v>
      </x:c>
      <x:c r="AB1077" s="9" t="str">
        <x:v>None known</x:v>
      </x:c>
      <x:c r="AC1077" s="9" t="str">
        <x:v>Digitised live-action characters composited onto pre-rendered scenes, with video cutscenes; agent pairs change the dialogue and puzzle routes</x:v>
      </x:c>
      <x:c r="AD1077" s="9" t="str">
        <x:v>Moderate; the agent pairing changes solutions</x:v>
      </x:c>
      <x:c r="AE1077" s="9" t="str">
        <x:v>One, by several routes</x:v>
      </x:c>
      <x:c r="AF1077" s="9" t="str">
        <x:v>Based on Nick Pollotta and Richard Meyers' Bureau 13: Stalking the Night Fantastic role-playing game. Reviewed widely in 1995 (Computer Gaming World, PC Gamer); a Macintosh version was announced (verify).</x:v>
      </x:c>
      <x:c r="AG1077" s="9" t="str">
        <x:v>DOS CD-ROM (1995); Macintosh (verify)</x:v>
      </x:c>
      <x:c r="AH1077" s="9" t="str">
        <x:v>No</x:v>
      </x:c>
      <x:c r="AI1077" s="9" t="str">
        <x:v>Easy</x:v>
      </x:c>
      <x:c r="AJ1077" s="9" t="str">
        <x:v>Original disc in DOSBox; disc images circulate</x:v>
      </x:c>
      <x:c r="AK1077" s="9" t="str">
        <x:v>Found by the October 2026 culture check against the index; the FMV World list has it. Facts from memory, verify.</x:v>
      </x:c>
      <x:c r="AL1077" s="10"/>
      <x:c r="AM1077" s="10"/>
      <x:c r="AN1077" s="10"/>
      <x:c r="AO1077" s="9"/>
      <x:c r="AP1077" s="11" t="str">
        <x:f>HYPERLINK("https://www.pricecharting.com/search-products?q=Bureau+13+pc+games&amp;type=prices","PriceCharting")</x:f>
        <x:v>PriceCharting</x:v>
      </x:c>
      <x:c r="AQ1077" s="9"/>
      <x:c r="AR1077" s="9"/>
      <x:c r="AS1077" s="9"/>
      <x:c r="AT1077" s="9"/>
      <x:c r="AU1077" s="9"/>
      <x:c r="AV1077" s="9"/>
      <x:c r="AW1077" s="9"/>
      <x:c r="AX1077" s="9"/>
      <x:c r="AY1077" s="9"/>
      <x:c r="AZ1077" s="9"/>
      <x:c r="BA1077" s="11" t="str">
        <x:f>HYPERLINK("https://www.mobygames.com/search/?q=Bureau+13","MobyGames")</x:f>
        <x:v>MobyGames</x:v>
      </x:c>
      <x:c r="BB1077" s="9" t="str"/>
      <x:c r="BC1077" s="9" t="str"/>
      <x:c r="BD1077" s="9"/>
      <x:c r="BE1077" s="11" t="str">
        <x:f>HYPERLINK("https://en.wikipedia.org/wiki/Bureau_13_(video_game)","Wikipedia")</x:f>
        <x:v>Wikipedia</x:v>
      </x:c>
      <x:c r="BF1077" s="11" t="str">
        <x:f>HYPERLINK("https://backloggd.com/search/games/Bureau%2013/","Backloggd")</x:f>
        <x:v>Backloggd</x:v>
      </x:c>
      <x:c r="BG1077" s="9"/>
      <x:c r="BH1077" s="9"/>
      <x:c r="BI1077" s="12" t="str">
        <x:v>No</x:v>
      </x:c>
      <x:c r="BJ1077" s="12" t="str"/>
      <x:c r="BK1077" s="12" t="str">
        <x:v>No</x:v>
      </x:c>
      <x:c r="BL1077" s="12" t="str"/>
      <x:c r="BM1077" s="12" t="str"/>
      <x:c r="BN1077" s="12" t="str"/>
      <x:c r="BO1077" s="12" t="str"/>
      <x:c r="BP1077" s="12" t="str"/>
      <x:c r="BQ1077" s="12" t="str"/>
    </x:row>
    <x:row r="1078">
      <x:c r="A1078" s="9" t="str">
        <x:v>segacd-80</x:v>
      </x:c>
      <x:c r="B1078" s="9" t="str">
        <x:v>the-space-adventure-cobra</x:v>
      </x:c>
      <x:c r="C1078" s="9" t="str">
        <x:v>Sega CD</x:v>
      </x:c>
      <x:c r="D1078" s="9" t="str">
        <x:v>The Space Adventure: Cobra – The Legendary Bandit</x:v>
      </x:c>
      <x:c r="E1078" s="9" t="str">
        <x:v>Space Adventure Cobra II: Densetsu no Otoko (Sega CD, JP)</x:v>
      </x:c>
      <x:c r="F1078" s="9" t="str">
        <x:v>Hudson Soft</x:v>
      </x:c>
      <x:c r="G1078" s="9" t="str">
        <x:v>Hudson Soft (JP); Sega of America (NA)</x:v>
      </x:c>
      <x:c r="H1078" s="9" t="n">
        <x:v>1995</x:v>
      </x:c>
      <x:c r="I1078" s="9" t="str">
        <x:v>Yes</x:v>
      </x:c>
      <x:c r="J1078" s="9" t="str">
        <x:v>Yes</x:v>
      </x:c>
      <x:c r="K1078" s="9" t="str">
        <x:v>No</x:v>
      </x:c>
      <x:c r="L1078" s="9" t="str">
        <x:v>No</x:v>
      </x:c>
      <x:c r="M1078" s="9" t="str">
        <x:v>Anime digital-comic adventure</x:v>
      </x:c>
      <x:c r="N1078" s="9" t="str">
        <x:v>Animated</x:v>
      </x:c>
      <x:c r="O1078" s="9" t="n">
        <x:v>5</x:v>
      </x:c>
      <x:c r="P1078" s="9" t="str">
        <x:v>FMV adventure</x:v>
      </x:c>
      <x:c r="Q1078" s="9" t="str">
        <x:v>Released</x:v>
      </x:c>
      <x:c r="R1078" s="9" t="str">
        <x:v>Licensed Cobra anime art (Buichi Terasawa; Tokyo Movie Shinsha)</x:v>
      </x:c>
      <x:c r="S1078" s="9" t="str">
        <x:v>None</x:v>
      </x:c>
      <x:c r="T1078" s="9" t="str">
        <x:v>English dub cast for the US release (names verify); Japanese voice cast on the original</x:v>
      </x:c>
      <x:c r="U1078" s="9" t="n">
        <x:v>1</x:v>
      </x:c>
      <x:c r="V1078" s="9" t="str">
        <x:v>Yes</x:v>
      </x:c>
      <x:c r="W1078" s="9" t="str">
        <x:v>Sega CD; internal backup RAM</x:v>
      </x:c>
      <x:c r="X1078" s="9" t="str">
        <x:v>Low</x:v>
      </x:c>
      <x:c r="Y1078" s="9" t="str"/>
      <x:c r="Z1078" s="9" t="str">
        <x:v>6–8 hr</x:v>
      </x:c>
      <x:c r="AA1078" s="9" t="str">
        <x:v>Hudson's Cobra digital comic, one of the last Sega CD releases in America (1995): menu-driven anime adventure with animated and voiced scenes, in the PC Engine CD-ROM² tradition.</x:v>
      </x:c>
      <x:c r="AB1078" s="9" t="str">
        <x:v>None known</x:v>
      </x:c>
      <x:c r="AC1078" s="9" t="str">
        <x:v>Animated anime scenes and voiced panels streamed from the disc, between menu-driven investigation (verify how much is full-motion)</x:v>
      </x:c>
      <x:c r="AD1078" s="9" t="str">
        <x:v>Easy; menu exhaustion</x:v>
      </x:c>
      <x:c r="AE1078" s="9" t="str">
        <x:v>One</x:v>
      </x:c>
      <x:c r="AF1078" s="9" t="str">
        <x:v>The US release is the second Cobra PC Engine game, Densetsu no Otoko, localised; the first (Kokuryū-ō no Densetsu) stayed in Japan. One of the rarest US Sega CD discs.</x:v>
      </x:c>
      <x:c r="AG1078" s="9" t="str">
        <x:v>Sega CD Japan (Hudson, 1994) and North America (Sega, 1995)</x:v>
      </x:c>
      <x:c r="AH1078" s="9" t="str">
        <x:v>No</x:v>
      </x:c>
      <x:c r="AI1078" s="9" t="str">
        <x:v>Expensive</x:v>
      </x:c>
      <x:c r="AJ1078" s="9" t="str">
        <x:v>Original disc on a Sega CD or in Genesis Plus GX; the US disc commands collector prices</x:v>
      </x:c>
      <x:c r="AK1078" s="9" t="str">
        <x:v>Under the Sega CD small-library rule (every disc with streamed video). Facts from memory, verify.</x:v>
      </x:c>
      <x:c r="AL1078" s="10"/>
      <x:c r="AM1078" s="10"/>
      <x:c r="AN1078" s="10"/>
      <x:c r="AO1078" s="9"/>
      <x:c r="AP1078" s="11" t="str">
        <x:f>HYPERLINK("https://www.pricecharting.com/search-products?q=The+Space+Adventure%3A+Cobra+%E2%80%93+The+Legendary+Bandit+sega+cd&amp;type=prices","PriceCharting")</x:f>
        <x:v>PriceCharting</x:v>
      </x:c>
      <x:c r="AQ1078" s="9"/>
      <x:c r="AR1078" s="9"/>
      <x:c r="AS1078" s="9"/>
      <x:c r="AT1078" s="9"/>
      <x:c r="AU1078" s="9"/>
      <x:c r="AV1078" s="9"/>
      <x:c r="AW1078" s="9"/>
      <x:c r="AX1078" s="9"/>
      <x:c r="AY1078" s="9"/>
      <x:c r="AZ1078" s="9"/>
      <x:c r="BA1078" s="11" t="str">
        <x:f>HYPERLINK("https://www.mobygames.com/search/?q=The+Space+Adventure%3A+Cobra+%E2%80%93+The+Legendary+Bandit","MobyGames")</x:f>
        <x:v>MobyGames</x:v>
      </x:c>
      <x:c r="BB1078" s="9" t="str"/>
      <x:c r="BC1078" s="9" t="str"/>
      <x:c r="BD1078" s="9"/>
      <x:c r="BE1078" s="11" t="str">
        <x:f>HYPERLINK("https://en.wikipedia.org/wiki/Space_Adventure_Cobra_(video_game)","Wikipedia")</x:f>
        <x:v>Wikipedia</x:v>
      </x:c>
      <x:c r="BF1078" s="11" t="str">
        <x:f>HYPERLINK("https://backloggd.com/search/games/The%20Space%20Adventure%3A%20Cobra%20%E2%80%93%20The%20Legendary%20Bandit/","Backloggd")</x:f>
        <x:v>Backloggd</x:v>
      </x:c>
      <x:c r="BG1078" s="9"/>
      <x:c r="BH1078" s="9"/>
      <x:c r="BI1078" s="12" t="str">
        <x:v>No</x:v>
      </x:c>
      <x:c r="BJ1078" s="12" t="str"/>
      <x:c r="BK1078" s="12" t="str">
        <x:v>No</x:v>
      </x:c>
      <x:c r="BL1078" s="12" t="str"/>
      <x:c r="BM1078" s="12" t="str"/>
      <x:c r="BN1078" s="12" t="str"/>
      <x:c r="BO1078" s="12" t="str"/>
      <x:c r="BP1078" s="12" t="str"/>
      <x:c r="BQ1078" s="12" t="str"/>
    </x:row>
    <x:row r="1079">
      <x:c r="A1079" s="9" t="str">
        <x:v>ps1-118</x:v>
      </x:c>
      <x:c r="B1079" s="9" t="str">
        <x:v>the-crow-city-of-angels</x:v>
      </x:c>
      <x:c r="C1079" s="9" t="str">
        <x:v>PlayStation</x:v>
      </x:c>
      <x:c r="D1079" s="9" t="str">
        <x:v>The Crow: City of Angels</x:v>
      </x:c>
      <x:c r="E1079" s="9" t="str"/>
      <x:c r="F1079" s="9" t="str">
        <x:v>Gray Matter</x:v>
      </x:c>
      <x:c r="G1079" s="9" t="str">
        <x:v>Acclaim</x:v>
      </x:c>
      <x:c r="H1079" s="9" t="n">
        <x:v>1997</x:v>
      </x:c>
      <x:c r="I1079" s="9" t="str">
        <x:v>Yes</x:v>
      </x:c>
      <x:c r="J1079" s="9" t="str">
        <x:v>No</x:v>
      </x:c>
      <x:c r="K1079" s="9" t="str">
        <x:v>Yes</x:v>
      </x:c>
      <x:c r="L1079" s="9" t="str">
        <x:v>No</x:v>
      </x:c>
      <x:c r="M1079" s="9" t="str">
        <x:v>3D beat 'em up with film clips</x:v>
      </x:c>
      <x:c r="N1079" s="9" t="str">
        <x:v>Film footage</x:v>
      </x:c>
      <x:c r="O1079" s="9" t="n">
        <x:v>3</x:v>
      </x:c>
      <x:c r="P1079" s="9" t="str">
        <x:v>Cutscenes only</x:v>
      </x:c>
      <x:c r="Q1079" s="9" t="str">
        <x:v>Released</x:v>
      </x:c>
      <x:c r="R1079" s="9" t="str">
        <x:v>Licensed clips from The Crow: City of Angels (Miramax, 1996)</x:v>
      </x:c>
      <x:c r="S1079" s="9" t="str">
        <x:v>None</x:v>
      </x:c>
      <x:c r="T1079" s="9" t="str">
        <x:v>Vincent Pérez and Mia Kirshner in film clips; in-game polygon Ashe</x:v>
      </x:c>
      <x:c r="U1079" s="9" t="n">
        <x:v>1</x:v>
      </x:c>
      <x:c r="V1079" s="9" t="str">
        <x:v>Yes</x:v>
      </x:c>
      <x:c r="W1079" s="9" t="str">
        <x:v>PlayStation</x:v>
      </x:c>
      <x:c r="X1079" s="9" t="str">
        <x:v>HIGH</x:v>
      </x:c>
      <x:c r="Y1079" s="9" t="str">
        <x:v>Miramax film footage and soundtrack</x:v>
      </x:c>
      <x:c r="Z1079" s="9" t="str">
        <x:v>3–4 hr</x:v>
      </x:c>
      <x:c r="AA1079" s="9" t="str">
        <x:v>Acclaim's film tie-in with clips of the movie between tank-controlled brawls; a regular on worst-games-ever lists and exactly the kind of bad Tom asked to see.</x:v>
      </x:c>
      <x:c r="AB1079" s="9" t="str">
        <x:v>None known</x:v>
      </x:c>
      <x:c r="AC1079" s="9" t="str">
        <x:v>Compressed clips from the film as level intros and outros</x:v>
      </x:c>
      <x:c r="AD1079" s="9" t="str">
        <x:v>Hard for the wrong reasons; the camera and controls</x:v>
      </x:c>
      <x:c r="AE1079" s="9" t="str">
        <x:v>One</x:v>
      </x:c>
      <x:c r="AF1079" s="9" t="str">
        <x:v>GameSpot 1.9/10 for the PlayStation version; the game shipped a year after the film flopped. Also on Saturn and Windows.</x:v>
      </x:c>
      <x:c r="AG1079" s="9" t="str">
        <x:v>PlayStation, Saturn and Windows (1997)</x:v>
      </x:c>
      <x:c r="AH1079" s="9" t="str">
        <x:v>No</x:v>
      </x:c>
      <x:c r="AI1079" s="9" t="str">
        <x:v>Easy</x:v>
      </x:c>
      <x:c r="AJ1079" s="9" t="str">
        <x:v>Original disc; emulation</x:v>
      </x:c>
      <x:c r="AK1079" s="9" t="str">
        <x:v>Notable cutscene title under the big-library rule, for the film footage and the reputation. Facts from memory, verify.</x:v>
      </x:c>
      <x:c r="AL1079" s="10"/>
      <x:c r="AM1079" s="10"/>
      <x:c r="AN1079" s="10"/>
      <x:c r="AO1079" s="9"/>
      <x:c r="AP1079" s="11" t="str">
        <x:f>HYPERLINK("https://www.pricecharting.com/search-products?q=The+Crow%3A+City+of+Angels+playstation&amp;type=prices","PriceCharting")</x:f>
        <x:v>PriceCharting</x:v>
      </x:c>
      <x:c r="AQ1079" s="9"/>
      <x:c r="AR1079" s="9"/>
      <x:c r="AS1079" s="9"/>
      <x:c r="AT1079" s="9"/>
      <x:c r="AU1079" s="9"/>
      <x:c r="AV1079" s="9"/>
      <x:c r="AW1079" s="9"/>
      <x:c r="AX1079" s="9"/>
      <x:c r="AY1079" s="9"/>
      <x:c r="AZ1079" s="9"/>
      <x:c r="BA1079" s="11" t="str">
        <x:f>HYPERLINK("https://www.mobygames.com/search/?q=The+Crow%3A+City+of+Angels","MobyGames")</x:f>
        <x:v>MobyGames</x:v>
      </x:c>
      <x:c r="BB1079" s="9" t="str"/>
      <x:c r="BC1079" s="9" t="str"/>
      <x:c r="BD1079" s="9"/>
      <x:c r="BE1079" s="9"/>
      <x:c r="BF1079" s="11" t="str">
        <x:f>HYPERLINK("https://backloggd.com/search/games/The%20Crow%3A%20City%20of%20Angels/","Backloggd")</x:f>
        <x:v>Backloggd</x:v>
      </x:c>
      <x:c r="BG1079" s="9"/>
      <x:c r="BH1079" s="9"/>
      <x:c r="BI1079" s="12" t="str">
        <x:v>No</x:v>
      </x:c>
      <x:c r="BJ1079" s="12" t="str"/>
      <x:c r="BK1079" s="12" t="str">
        <x:v>No</x:v>
      </x:c>
      <x:c r="BL1079" s="12" t="str"/>
      <x:c r="BM1079" s="12" t="str"/>
      <x:c r="BN1079" s="12" t="str"/>
      <x:c r="BO1079" s="12" t="str"/>
      <x:c r="BP1079" s="12" t="str"/>
      <x:c r="BQ1079" s="12" t="str"/>
    </x:row>
    <x:row r="1080">
      <x:c r="A1080" s="9" t="str">
        <x:v>saturn-83</x:v>
      </x:c>
      <x:c r="B1080" s="9" t="str">
        <x:v>the-crow-city-of-angels</x:v>
      </x:c>
      <x:c r="C1080" s="9" t="str">
        <x:v>Sega Saturn</x:v>
      </x:c>
      <x:c r="D1080" s="9" t="str">
        <x:v>The Crow: City of Angels</x:v>
      </x:c>
      <x:c r="E1080" s="9" t="str"/>
      <x:c r="F1080" s="9" t="str">
        <x:v>Gray Matter</x:v>
      </x:c>
      <x:c r="G1080" s="9" t="str">
        <x:v>Acclaim</x:v>
      </x:c>
      <x:c r="H1080" s="9" t="n">
        <x:v>1997</x:v>
      </x:c>
      <x:c r="I1080" s="9" t="str">
        <x:v>Yes</x:v>
      </x:c>
      <x:c r="J1080" s="9" t="str">
        <x:v>No</x:v>
      </x:c>
      <x:c r="K1080" s="9" t="str">
        <x:v>Yes</x:v>
      </x:c>
      <x:c r="L1080" s="9" t="str">
        <x:v>No</x:v>
      </x:c>
      <x:c r="M1080" s="9" t="str">
        <x:v>3D beat 'em up with film clips</x:v>
      </x:c>
      <x:c r="N1080" s="9" t="str">
        <x:v>Film footage</x:v>
      </x:c>
      <x:c r="O1080" s="9" t="n">
        <x:v>3</x:v>
      </x:c>
      <x:c r="P1080" s="9" t="str">
        <x:v>Cutscenes only</x:v>
      </x:c>
      <x:c r="Q1080" s="9" t="str">
        <x:v>Released</x:v>
      </x:c>
      <x:c r="R1080" s="9" t="str">
        <x:v>Licensed clips from The Crow: City of Angels (Miramax, 1996)</x:v>
      </x:c>
      <x:c r="S1080" s="9" t="str">
        <x:v>PlayStation, Windows</x:v>
      </x:c>
      <x:c r="T1080" s="9" t="str">
        <x:v>Vincent Pérez and Mia Kirshner in film clips; in-game polygon Ashe</x:v>
      </x:c>
      <x:c r="U1080" s="9" t="n">
        <x:v>1</x:v>
      </x:c>
      <x:c r="V1080" s="9" t="str">
        <x:v>Yes</x:v>
      </x:c>
      <x:c r="W1080" s="9" t="str">
        <x:v>Sega Saturn</x:v>
      </x:c>
      <x:c r="X1080" s="9" t="str">
        <x:v>HIGH</x:v>
      </x:c>
      <x:c r="Y1080" s="9" t="str">
        <x:v>Miramax film footage and soundtrack</x:v>
      </x:c>
      <x:c r="Z1080" s="9" t="str">
        <x:v>3–4 hr</x:v>
      </x:c>
      <x:c r="AA1080" s="9" t="str">
        <x:v>Acclaim's film tie-in with clips of the movie between tank-controlled brawls; a regular on worst-games-ever lists and exactly the kind of bad Tom asked to see.</x:v>
      </x:c>
      <x:c r="AB1080" s="9" t="str">
        <x:v>None known</x:v>
      </x:c>
      <x:c r="AC1080" s="9" t="str">
        <x:v>Compressed clips from the film as level intros and outros</x:v>
      </x:c>
      <x:c r="AD1080" s="9" t="str">
        <x:v>Hard for the wrong reasons; the camera and controls</x:v>
      </x:c>
      <x:c r="AE1080" s="9" t="str">
        <x:v>One</x:v>
      </x:c>
      <x:c r="AF1080" s="9" t="str">
        <x:v>GameSpot 1.9/10 for the PlayStation version; the game shipped a year after the film flopped. Also on Saturn and Windows.</x:v>
      </x:c>
      <x:c r="AG1080" s="9" t="str">
        <x:v>PlayStation, Saturn and Windows (1997)</x:v>
      </x:c>
      <x:c r="AH1080" s="9" t="str">
        <x:v>No</x:v>
      </x:c>
      <x:c r="AI1080" s="9" t="str">
        <x:v>Easy</x:v>
      </x:c>
      <x:c r="AJ1080" s="9" t="str">
        <x:v>Original disc; emulation</x:v>
      </x:c>
      <x:c r="AK1080" s="9" t="str">
        <x:v>Notable cutscene title under the big-library rule, for the film footage and the reputation. Facts from memory, verify.</x:v>
      </x:c>
      <x:c r="AL1080" s="10"/>
      <x:c r="AM1080" s="10"/>
      <x:c r="AN1080" s="10"/>
      <x:c r="AO1080" s="9"/>
      <x:c r="AP1080" s="11" t="str">
        <x:f>HYPERLINK("https://www.pricecharting.com/search-products?q=The+Crow%3A+City+of+Angels+saturn&amp;type=prices","PriceCharting")</x:f>
        <x:v>PriceCharting</x:v>
      </x:c>
      <x:c r="AQ1080" s="9"/>
      <x:c r="AR1080" s="9"/>
      <x:c r="AS1080" s="9"/>
      <x:c r="AT1080" s="9"/>
      <x:c r="AU1080" s="9"/>
      <x:c r="AV1080" s="9"/>
      <x:c r="AW1080" s="9"/>
      <x:c r="AX1080" s="9"/>
      <x:c r="AY1080" s="9"/>
      <x:c r="AZ1080" s="9"/>
      <x:c r="BA1080" s="11" t="str">
        <x:f>HYPERLINK("https://www.mobygames.com/search/?q=The+Crow%3A+City+of+Angels","MobyGames")</x:f>
        <x:v>MobyGames</x:v>
      </x:c>
      <x:c r="BB1080" s="9" t="str"/>
      <x:c r="BC1080" s="9" t="str"/>
      <x:c r="BD1080" s="9"/>
      <x:c r="BE1080" s="9"/>
      <x:c r="BF1080" s="11" t="str">
        <x:f>HYPERLINK("https://backloggd.com/search/games/The%20Crow%3A%20City%20of%20Angels/","Backloggd")</x:f>
        <x:v>Backloggd</x:v>
      </x:c>
      <x:c r="BG1080" s="9"/>
      <x:c r="BH1080" s="9"/>
      <x:c r="BI1080" s="12" t="str">
        <x:v>No</x:v>
      </x:c>
      <x:c r="BJ1080" s="12" t="str"/>
      <x:c r="BK1080" s="12" t="str">
        <x:v>No</x:v>
      </x:c>
      <x:c r="BL1080" s="12" t="str"/>
      <x:c r="BM1080" s="12" t="str"/>
      <x:c r="BN1080" s="12" t="str"/>
      <x:c r="BO1080" s="12" t="str"/>
      <x:c r="BP1080" s="12" t="str"/>
      <x:c r="BQ1080" s="12" t="str"/>
    </x:row>
    <x:row r="1081">
      <x:c r="A1081" s="9" t="str">
        <x:v>pc-340</x:v>
      </x:c>
      <x:c r="B1081" s="9" t="str">
        <x:v>the-dark-side-of-the-moon-2021</x:v>
      </x:c>
      <x:c r="C1081" s="9" t="str">
        <x:v>PC</x:v>
      </x:c>
      <x:c r="D1081" s="9" t="str">
        <x:v>The Dark Side of the Moon: An Interactive FMV Thriller</x:v>
      </x:c>
      <x:c r="E1081" s="9" t="str"/>
      <x:c r="F1081" s="9" t="str">
        <x:v>Tayanna Studios</x:v>
      </x:c>
      <x:c r="G1081" s="9" t="str">
        <x:v>Tayanna Studios</x:v>
      </x:c>
      <x:c r="H1081" s="9" t="n">
        <x:v>2021</x:v>
      </x:c>
      <x:c r="I1081" s="9" t="str">
        <x:v>Yes</x:v>
      </x:c>
      <x:c r="J1081" s="9" t="str">
        <x:v>No</x:v>
      </x:c>
      <x:c r="K1081" s="9" t="str">
        <x:v>Yes</x:v>
      </x:c>
      <x:c r="L1081" s="9" t="str">
        <x:v>No</x:v>
      </x:c>
      <x:c r="M1081" s="9" t="str">
        <x:v>Interactive movie / adventure</x:v>
      </x:c>
      <x:c r="N1081" s="9" t="str">
        <x:v>Live-action</x:v>
      </x:c>
      <x:c r="O1081" s="9" t="n">
        <x:v>9</x:v>
      </x:c>
      <x:c r="P1081" s="9" t="str">
        <x:v>FMV adventure</x:v>
      </x:c>
      <x:c r="Q1081" s="9" t="str">
        <x:v>Released</x:v>
      </x:c>
      <x:c r="R1081" s="9" t="str">
        <x:v>Original production</x:v>
      </x:c>
      <x:c r="S1081" s="9" t="str"/>
      <x:c r="T1081" s="9" t="str">
        <x:v>Rupert Booth; Anarosa Butler</x:v>
      </x:c>
      <x:c r="U1081" s="9" t="n">
        <x:v>0</x:v>
      </x:c>
      <x:c r="V1081" s="9" t="str">
        <x:v>Unknown — verify</x:v>
      </x:c>
      <x:c r="W1081" s="9" t="str">
        <x:v>Windows PC; mouse</x:v>
      </x:c>
      <x:c r="X1081" s="9" t="str">
        <x:v>Unknown — verify</x:v>
      </x:c>
      <x:c r="Y1081" s="9" t="str"/>
      <x:c r="Z1081" s="9" t="str">
        <x:v>Unknown — verify</x:v>
      </x:c>
      <x:c r="AA1081" s="9" t="str">
        <x:v>Search for two missing children in a filmed mystery starring familiar faces from the FMV revival.</x:v>
      </x:c>
      <x:c r="AB1081" s="9" t="str">
        <x:v>None known</x:v>
      </x:c>
      <x:c r="AC1081" s="9" t="str">
        <x:v>Live-action mystery with point-and-click exploration and five narrative outcomes.</x:v>
      </x:c>
      <x:c r="AD1081" s="9" t="str">
        <x:v>Unknown — verify</x:v>
      </x:c>
      <x:c r="AE1081" s="9" t="str">
        <x:v>Five outcomes</x:v>
      </x:c>
      <x:c r="AF1081" s="9" t="str"/>
      <x:c r="AG1081" s="9" t="str"/>
      <x:c r="AH1081" s="9" t="str">
        <x:v>Yes (Steam)</x:v>
      </x:c>
      <x:c r="AI1081" s="9" t="str">
        <x:v>Easy</x:v>
      </x:c>
      <x:c r="AJ1081" s="9" t="str">
        <x:v>Steam (Windows): https://store.steampowered.com/app/1525770/</x:v>
      </x:c>
      <x:c r="AK1081" s="9" t="str">
        <x:v>Distinct from the 1998 Dark Side of the Moon. Assign gameId the-dark-side-of-the-moon-2021. Sources: https://store.steampowered.com/app/1525770/ ; https://www.youtube.com/watch?v=7rpVMsPJZoE</x:v>
      </x:c>
      <x:c r="AL1081" s="10"/>
      <x:c r="AM1081" s="10"/>
      <x:c r="AN1081" s="10"/>
      <x:c r="AO1081" s="9"/>
      <x:c r="AP1081" s="11"/>
      <x:c r="AQ1081" s="9" t="n">
        <x:v>8.99</x:v>
      </x:c>
      <x:c r="AR1081" s="9" t="str">
        <x:v>Steam</x:v>
      </x:c>
      <x:c r="AS1081" s="9" t="str">
        <x:f>HYPERLINK("https://store.steampowered.com/app/1525770/","Store")</x:f>
        <x:v>Store</x:v>
      </x:c>
      <x:c r="AT1081" s="9" t="str">
        <x:v>2026-10-25</x:v>
      </x:c>
      <x:c r="AU1081" s="9"/>
      <x:c r="AV1081" s="9"/>
      <x:c r="AW1081" s="9"/>
      <x:c r="AX1081" s="9"/>
      <x:c r="AY1081" s="9"/>
      <x:c r="AZ1081" s="9"/>
      <x:c r="BA1081" s="11" t="str"/>
      <x:c r="BB1081" s="9"/>
      <x:c r="BC1081" s="9"/>
      <x:c r="BD1081" s="9"/>
      <x:c r="BE1081" s="9" t="str"/>
      <x:c r="BF1081" s="11" t="str">
        <x:f>HYPERLINK("https://backloggd.com/search/games/The+Dark+Side+of+the+Moon%3A+An+Interactive+FMV+Thriller/","Backloggd")</x:f>
        <x:v>Backloggd</x:v>
      </x:c>
      <x:c r="BG1081" s="9"/>
      <x:c r="BH1081" s="9"/>
      <x:c r="BI1081" s="12" t="str">
        <x:v>No</x:v>
      </x:c>
      <x:c r="BJ1081" s="12" t="str"/>
      <x:c r="BK1081" s="12" t="str">
        <x:v>No</x:v>
      </x:c>
      <x:c r="BL1081" s="12" t="str"/>
      <x:c r="BM1081" s="12" t="str"/>
      <x:c r="BN1081" s="12" t="str"/>
      <x:c r="BO1081" s="12" t="str"/>
      <x:c r="BP1081" s="12" t="str"/>
      <x:c r="BQ1081" s="12" t="str"/>
    </x:row>
    <x:row r="1082">
      <x:c r="A1082" s="9" t="str">
        <x:v>pc-341</x:v>
      </x:c>
      <x:c r="B1082" s="9" t="str">
        <x:v>jessika</x:v>
      </x:c>
      <x:c r="C1082" s="9" t="str">
        <x:v>PC</x:v>
      </x:c>
      <x:c r="D1082" s="9" t="str">
        <x:v>Jessika</x:v>
      </x:c>
      <x:c r="E1082" s="9" t="str"/>
      <x:c r="F1082" s="9" t="str">
        <x:v>Tritrie Games</x:v>
      </x:c>
      <x:c r="G1082" s="9" t="str">
        <x:v>Assemble Entertainment</x:v>
      </x:c>
      <x:c r="H1082" s="9" t="n">
        <x:v>2020</x:v>
      </x:c>
      <x:c r="I1082" s="9" t="str">
        <x:v>Yes</x:v>
      </x:c>
      <x:c r="J1082" s="9" t="str">
        <x:v>No</x:v>
      </x:c>
      <x:c r="K1082" s="9" t="str">
        <x:v>Yes</x:v>
      </x:c>
      <x:c r="L1082" s="9" t="str">
        <x:v>No</x:v>
      </x:c>
      <x:c r="M1082" s="9" t="str">
        <x:v>Interactive movie / mystery</x:v>
      </x:c>
      <x:c r="N1082" s="9" t="str">
        <x:v>Live-action</x:v>
      </x:c>
      <x:c r="O1082" s="9" t="n">
        <x:v>10</x:v>
      </x:c>
      <x:c r="P1082" s="9" t="str">
        <x:v>Interactive movie</x:v>
      </x:c>
      <x:c r="Q1082" s="9" t="str">
        <x:v>Released</x:v>
      </x:c>
      <x:c r="R1082" s="9" t="str">
        <x:v>Original production</x:v>
      </x:c>
      <x:c r="S1082" s="9" t="str"/>
      <x:c r="T1082" s="9" t="str">
        <x:v>Unknown — verify</x:v>
      </x:c>
      <x:c r="U1082" s="9" t="n">
        <x:v>0</x:v>
      </x:c>
      <x:c r="V1082" s="9" t="str">
        <x:v>Unknown — verify</x:v>
      </x:c>
      <x:c r="W1082" s="9" t="str">
        <x:v>Windows PC; mouse</x:v>
      </x:c>
      <x:c r="X1082" s="9" t="str">
        <x:v>Unknown — verify</x:v>
      </x:c>
      <x:c r="Y1082" s="9" t="str"/>
      <x:c r="Z1082" s="9" t="str">
        <x:v>Unknown — verify</x:v>
      </x:c>
      <x:c r="AA1082" s="9" t="str">
        <x:v>Search a young woman’s video diaries to uncover the forces behind her death.</x:v>
      </x:c>
      <x:c r="AB1082" s="9" t="str">
        <x:v>None known</x:v>
      </x:c>
      <x:c r="AC1082" s="9" t="str">
        <x:v>Desktop investigation using searches of recorded live-action video diaries and other digital evidence.</x:v>
      </x:c>
      <x:c r="AD1082" s="9" t="str">
        <x:v>Unknown — verify</x:v>
      </x:c>
      <x:c r="AE1082" s="9" t="str">
        <x:v>Multiple endings</x:v>
      </x:c>
      <x:c r="AF1082" s="9" t="str"/>
      <x:c r="AG1082" s="9" t="str"/>
      <x:c r="AH1082" s="9" t="str">
        <x:v>Yes (Steam)</x:v>
      </x:c>
      <x:c r="AI1082" s="9" t="str">
        <x:v>Easy</x:v>
      </x:c>
      <x:c r="AJ1082" s="9" t="str">
        <x:v>Steam (Windows): https://store.steampowered.com/app/1251980/</x:v>
      </x:c>
      <x:c r="AK1082" s="9" t="str">
        <x:v>Suicide is central to premise. Store lists English and German full audio. Sources: https://store.steampowered.com/app/1251980/ ; https://store.steampowered.com/app/1251980/</x:v>
      </x:c>
      <x:c r="AL1082" s="10"/>
      <x:c r="AM1082" s="10"/>
      <x:c r="AN1082" s="10"/>
      <x:c r="AO1082" s="9"/>
      <x:c r="AP1082" s="11"/>
      <x:c r="AQ1082" s="9" t="n">
        <x:v>12.49</x:v>
      </x:c>
      <x:c r="AR1082" s="9" t="str">
        <x:v>Steam</x:v>
      </x:c>
      <x:c r="AS1082" s="9" t="str">
        <x:f>HYPERLINK("https://store.steampowered.com/app/1251980/","Store")</x:f>
        <x:v>Store</x:v>
      </x:c>
      <x:c r="AT1082" s="9" t="str">
        <x:v>2026-10-25</x:v>
      </x:c>
      <x:c r="AU1082" s="9"/>
      <x:c r="AV1082" s="9"/>
      <x:c r="AW1082" s="9"/>
      <x:c r="AX1082" s="9"/>
      <x:c r="AY1082" s="9"/>
      <x:c r="AZ1082" s="9"/>
      <x:c r="BA1082" s="11" t="str"/>
      <x:c r="BB1082" s="9"/>
      <x:c r="BC1082" s="9"/>
      <x:c r="BD1082" s="9"/>
      <x:c r="BE1082" s="9" t="str"/>
      <x:c r="BF1082" s="11" t="str">
        <x:f>HYPERLINK("https://backloggd.com/search/games/Jessika/","Backloggd")</x:f>
        <x:v>Backloggd</x:v>
      </x:c>
      <x:c r="BG1082" s="9"/>
      <x:c r="BH1082" s="9"/>
      <x:c r="BI1082" s="12" t="str">
        <x:v>No</x:v>
      </x:c>
      <x:c r="BJ1082" s="12" t="str"/>
      <x:c r="BK1082" s="12" t="str">
        <x:v>No</x:v>
      </x:c>
      <x:c r="BL1082" s="12" t="str"/>
      <x:c r="BM1082" s="12" t="str"/>
      <x:c r="BN1082" s="12" t="str"/>
      <x:c r="BO1082" s="12" t="str"/>
      <x:c r="BP1082" s="12" t="str"/>
      <x:c r="BQ1082" s="12" t="str"/>
    </x:row>
    <x:row r="1083">
      <x:c r="A1083" s="9" t="str">
        <x:v>pc-342</x:v>
      </x:c>
      <x:c r="B1083" s="9" t="str">
        <x:v>super-seducer-2</x:v>
      </x:c>
      <x:c r="C1083" s="9" t="str">
        <x:v>PC</x:v>
      </x:c>
      <x:c r="D1083" s="9" t="str">
        <x:v>Super Seducer 2: Advanced Seduction Tactics</x:v>
      </x:c>
      <x:c r="E1083" s="9" t="str"/>
      <x:c r="F1083" s="9" t="str">
        <x:v>RLR Training Inc</x:v>
      </x:c>
      <x:c r="G1083" s="9" t="str">
        <x:v>RLR Training Inc</x:v>
      </x:c>
      <x:c r="H1083" s="9" t="n">
        <x:v>2018</x:v>
      </x:c>
      <x:c r="I1083" s="9" t="str">
        <x:v>Yes</x:v>
      </x:c>
      <x:c r="J1083" s="9" t="str">
        <x:v>No</x:v>
      </x:c>
      <x:c r="K1083" s="9" t="str">
        <x:v>Yes</x:v>
      </x:c>
      <x:c r="L1083" s="9" t="str">
        <x:v>No</x:v>
      </x:c>
      <x:c r="M1083" s="9" t="str">
        <x:v>Interactive movie / dating simulation</x:v>
      </x:c>
      <x:c r="N1083" s="9" t="str">
        <x:v>Live-action</x:v>
      </x:c>
      <x:c r="O1083" s="9" t="n">
        <x:v>10</x:v>
      </x:c>
      <x:c r="P1083" s="9" t="str">
        <x:v>Interactive movie</x:v>
      </x:c>
      <x:c r="Q1083" s="9" t="str">
        <x:v>Released</x:v>
      </x:c>
      <x:c r="R1083" s="9" t="str">
        <x:v>Original production</x:v>
      </x:c>
      <x:c r="S1083" s="9" t="str">
        <x:v>macOS</x:v>
      </x:c>
      <x:c r="T1083" s="9" t="str">
        <x:v>Richard La Ruina</x:v>
      </x:c>
      <x:c r="U1083" s="9" t="n">
        <x:v>0</x:v>
      </x:c>
      <x:c r="V1083" s="9" t="str">
        <x:v>Unknown — verify</x:v>
      </x:c>
      <x:c r="W1083" s="9" t="str">
        <x:v>Windows PC; mouse</x:v>
      </x:c>
      <x:c r="X1083" s="9" t="str">
        <x:v>Unknown — verify</x:v>
      </x:c>
      <x:c r="Y1083" s="9" t="str"/>
      <x:c r="Z1083" s="9" t="str">
        <x:v>Unknown — verify</x:v>
      </x:c>
      <x:c r="AA1083" s="9" t="str">
        <x:v>Choose what to say in ten filmed dating scenarios, with branching outcomes and deliberately disastrous options.</x:v>
      </x:c>
      <x:c r="AB1083" s="9" t="str">
        <x:v>None known</x:v>
      </x:c>
      <x:c r="AC1083" s="9" t="str">
        <x:v>Live-action choice sequences and filmed coaching; ten scenarios and up to five outcomes per scenario.</x:v>
      </x:c>
      <x:c r="AD1083" s="9" t="str">
        <x:v>Unknown — verify</x:v>
      </x:c>
      <x:c r="AE1083" s="9" t="str">
        <x:v>Up to five endings per scenario</x:v>
      </x:c>
      <x:c r="AF1083" s="9" t="str"/>
      <x:c r="AG1083" s="9" t="str"/>
      <x:c r="AH1083" s="9" t="str">
        <x:v>Yes (Steam)</x:v>
      </x:c>
      <x:c r="AI1083" s="9" t="str">
        <x:v>Easy</x:v>
      </x:c>
      <x:c r="AJ1083" s="9" t="str">
        <x:v>Steam (Windows/macOS): https://store.steampowered.com/app/863570/</x:v>
      </x:c>
      <x:c r="AK1083" s="9" t="str">
        <x:v>Current product and release 13 Sep 2018 checked on 2026-10-25: https://store.steampowered.com/app/863570/ . Continues the indexed original; sexual dialogue and strong language, described by developer as filmed choose-your-own-adventure gameplay. No invented critic scores.</x:v>
      </x:c>
      <x:c r="AL1083" s="10"/>
      <x:c r="AM1083" s="10"/>
      <x:c r="AN1083" s="10"/>
      <x:c r="AO1083" s="9"/>
      <x:c r="AP1083" s="11"/>
      <x:c r="AQ1083" s="9" t="n">
        <x:v>12.99</x:v>
      </x:c>
      <x:c r="AR1083" s="9" t="str">
        <x:v>Steam</x:v>
      </x:c>
      <x:c r="AS1083" s="9" t="str">
        <x:f>HYPERLINK("https://store.steampowered.com/app/863570/","Store")</x:f>
        <x:v>Store</x:v>
      </x:c>
      <x:c r="AT1083" s="9" t="str">
        <x:v>2026-10-25</x:v>
      </x:c>
      <x:c r="AU1083" s="9"/>
      <x:c r="AV1083" s="9"/>
      <x:c r="AW1083" s="9"/>
      <x:c r="AX1083" s="9"/>
      <x:c r="AY1083" s="9"/>
      <x:c r="AZ1083" s="9"/>
      <x:c r="BA1083" s="11" t="str"/>
      <x:c r="BB1083" s="9"/>
      <x:c r="BC1083" s="9"/>
      <x:c r="BD1083" s="9"/>
      <x:c r="BE1083" s="9" t="str"/>
      <x:c r="BF1083" s="11" t="str">
        <x:f>HYPERLINK("https://backloggd.com/search/games/Super+Seducer+2%3A+Advanced+Seduction+Tactics/","Backloggd")</x:f>
        <x:v>Backloggd</x:v>
      </x:c>
      <x:c r="BG1083" s="9"/>
      <x:c r="BH1083" s="9"/>
      <x:c r="BI1083" s="12" t="str">
        <x:v>No</x:v>
      </x:c>
      <x:c r="BJ1083" s="12" t="str"/>
      <x:c r="BK1083" s="12" t="str">
        <x:v>No</x:v>
      </x:c>
      <x:c r="BL1083" s="12" t="str"/>
      <x:c r="BM1083" s="12" t="str"/>
      <x:c r="BN1083" s="12" t="str"/>
      <x:c r="BO1083" s="12" t="str"/>
      <x:c r="BP1083" s="12" t="str"/>
      <x:c r="BQ1083" s="12" t="str"/>
    </x:row>
    <x:row r="1084">
      <x:c r="A1084" s="9" t="str">
        <x:v>pc-343</x:v>
      </x:c>
      <x:c r="B1084" s="9" t="str">
        <x:v>love-too-easily</x:v>
      </x:c>
      <x:c r="C1084" s="9" t="str">
        <x:v>PC</x:v>
      </x:c>
      <x:c r="D1084" s="9" t="str">
        <x:v>Love Too Easily</x:v>
      </x:c>
      <x:c r="E1084" s="9" t="str"/>
      <x:c r="F1084" s="9" t="str">
        <x:v>Monster Guide inc.</x:v>
      </x:c>
      <x:c r="G1084" s="9" t="str">
        <x:v>MediBang Games</x:v>
      </x:c>
      <x:c r="H1084" s="9" t="n">
        <x:v>2023</x:v>
      </x:c>
      <x:c r="I1084" s="9" t="str">
        <x:v>Yes</x:v>
      </x:c>
      <x:c r="J1084" s="9" t="str">
        <x:v>No</x:v>
      </x:c>
      <x:c r="K1084" s="9" t="str">
        <x:v>Yes</x:v>
      </x:c>
      <x:c r="L1084" s="9" t="str">
        <x:v>No</x:v>
      </x:c>
      <x:c r="M1084" s="9" t="str">
        <x:v>FMV interactive movie</x:v>
      </x:c>
      <x:c r="N1084" s="9" t="str">
        <x:v>Live-action</x:v>
      </x:c>
      <x:c r="O1084" s="9" t="n">
        <x:v>10</x:v>
      </x:c>
      <x:c r="P1084" s="9" t="str">
        <x:v>Interactive movie</x:v>
      </x:c>
      <x:c r="Q1084" s="9" t="str">
        <x:v>Released</x:v>
      </x:c>
      <x:c r="R1084" s="9" t="str">
        <x:v>Original production</x:v>
      </x:c>
      <x:c r="S1084" s="9" t="str">
        <x:v>Unknown — verify</x:v>
      </x:c>
      <x:c r="T1084" s="9" t="str">
        <x:v>Unknown — verify</x:v>
      </x:c>
      <x:c r="U1084" s="9" t="n">
        <x:v>0</x:v>
      </x:c>
      <x:c r="V1084" s="9" t="str">
        <x:v>Unknown — verify</x:v>
      </x:c>
      <x:c r="W1084" s="9" t="str">
        <x:v>Windows PC; see store requirements</x:v>
      </x:c>
      <x:c r="X1084" s="9" t="str">
        <x:v>Unknown</x:v>
      </x:c>
      <x:c r="Y1084" s="9" t="str"/>
      <x:c r="Z1084" s="9" t="str">
        <x:v>Unknown — verify</x:v>
      </x:c>
      <x:c r="AA1084" s="9" t="str">
        <x:v>Korean live-action romantic mystery interactive movie; primary store explicitly calls it an interactive movie.</x:v>
      </x:c>
      <x:c r="AB1084" s="9" t="str">
        <x:v>Unknown — verify</x:v>
      </x:c>
      <x:c r="AC1084" s="9" t="str">
        <x:v>Live-action video carries the story and player choices.</x:v>
      </x:c>
      <x:c r="AD1084" s="9" t="str">
        <x:v>Unknown — verify</x:v>
      </x:c>
      <x:c r="AE1084" s="9" t="str">
        <x:v>Unknown — verify</x:v>
      </x:c>
      <x:c r="AF1084" s="9" t="str"/>
      <x:c r="AG1084" s="9" t="str"/>
      <x:c r="AH1084" s="9" t="str">
        <x:v>Yes (Steam)</x:v>
      </x:c>
      <x:c r="AI1084" s="9" t="str">
        <x:v>Easy</x:v>
      </x:c>
      <x:c r="AJ1084" s="9" t="str">
        <x:v>Steam: https://store.steampowered.com/app/2274500/Love_Too_Easily/</x:v>
      </x:c>
      <x:c r="AK1084" s="9" t="str">
        <x:v>Korean live-action romantic mystery interactive movie; primary store explicitly calls it an interactive movie. Released Aug24 2023. Windows Steam; publisher MediBang Games. Primary source: https://store.steampowered.com/app/2274500/Love_Too_Easily/</x:v>
      </x:c>
      <x:c r="AL1084" s="10"/>
      <x:c r="AM1084" s="10"/>
      <x:c r="AN1084" s="10"/>
      <x:c r="AO1084" s="9"/>
      <x:c r="AP1084" s="11"/>
      <x:c r="AQ1084" s="9" t="n">
        <x:v>21.99</x:v>
      </x:c>
      <x:c r="AR1084" s="9" t="str">
        <x:v>Steam</x:v>
      </x:c>
      <x:c r="AS1084" s="9" t="str">
        <x:f>HYPERLINK("https://store.steampowered.com/app/2274500/","Store")</x:f>
        <x:v>Store</x:v>
      </x:c>
      <x:c r="AT1084" s="9" t="str">
        <x:v>2026-10-25</x:v>
      </x:c>
      <x:c r="AU1084" s="9"/>
      <x:c r="AV1084" s="9"/>
      <x:c r="AW1084" s="9"/>
      <x:c r="AX1084" s="9"/>
      <x:c r="AY1084" s="9"/>
      <x:c r="AZ1084" s="9"/>
      <x:c r="BA1084" s="11"/>
      <x:c r="BB1084" s="9"/>
      <x:c r="BC1084" s="9"/>
      <x:c r="BD1084" s="9"/>
      <x:c r="BE1084" s="9"/>
      <x:c r="BF1084" s="11" t="str">
        <x:f>HYPERLINK("https://backloggd.com/search/games/Love+Too+Easily/","Backloggd")</x:f>
        <x:v>Backloggd</x:v>
      </x:c>
      <x:c r="BG1084" s="9"/>
      <x:c r="BH1084" s="9"/>
      <x:c r="BI1084" s="12" t="str">
        <x:v>No</x:v>
      </x:c>
      <x:c r="BJ1084" s="12" t="str"/>
      <x:c r="BK1084" s="12" t="str">
        <x:v>No</x:v>
      </x:c>
      <x:c r="BL1084" s="12" t="str"/>
      <x:c r="BM1084" s="12" t="str"/>
      <x:c r="BN1084" s="12" t="str"/>
      <x:c r="BO1084" s="12" t="str"/>
      <x:c r="BP1084" s="12" t="str"/>
      <x:c r="BQ1084" s="12" t="str"/>
    </x:row>
    <x:row r="1085">
      <x:c r="A1085" s="9" t="str">
        <x:v>pc-344</x:v>
      </x:c>
      <x:c r="B1085" s="9" t="str">
        <x:v>drive-me-crazy</x:v>
      </x:c>
      <x:c r="C1085" s="9" t="str">
        <x:v>PC</x:v>
      </x:c>
      <x:c r="D1085" s="9" t="str">
        <x:v>Drive Me Crazy</x:v>
      </x:c>
      <x:c r="E1085" s="9" t="str"/>
      <x:c r="F1085" s="9" t="str">
        <x:v>Tenth Art Studio</x:v>
      </x:c>
      <x:c r="G1085" s="9" t="str">
        <x:v>EE GAMES; Tenth Art Studio</x:v>
      </x:c>
      <x:c r="H1085" s="9" t="n">
        <x:v>2024</x:v>
      </x:c>
      <x:c r="I1085" s="9" t="str">
        <x:v>Yes</x:v>
      </x:c>
      <x:c r="J1085" s="9" t="str">
        <x:v>No</x:v>
      </x:c>
      <x:c r="K1085" s="9" t="str">
        <x:v>Yes</x:v>
      </x:c>
      <x:c r="L1085" s="9" t="str">
        <x:v>No</x:v>
      </x:c>
      <x:c r="M1085" s="9" t="str">
        <x:v>FMV interactive movie</x:v>
      </x:c>
      <x:c r="N1085" s="9" t="str">
        <x:v>Live-action</x:v>
      </x:c>
      <x:c r="O1085" s="9" t="n">
        <x:v>10</x:v>
      </x:c>
      <x:c r="P1085" s="9" t="str">
        <x:v>Interactive movie</x:v>
      </x:c>
      <x:c r="Q1085" s="9" t="str">
        <x:v>Released</x:v>
      </x:c>
      <x:c r="R1085" s="9" t="str">
        <x:v>Original production</x:v>
      </x:c>
      <x:c r="S1085" s="9" t="str">
        <x:v>Unknown — verify</x:v>
      </x:c>
      <x:c r="T1085" s="9" t="str">
        <x:v>Unknown — verify</x:v>
      </x:c>
      <x:c r="U1085" s="9" t="n">
        <x:v>0</x:v>
      </x:c>
      <x:c r="V1085" s="9" t="str">
        <x:v>Unknown — verify</x:v>
      </x:c>
      <x:c r="W1085" s="9" t="str">
        <x:v>Windows PC; see store requirements</x:v>
      </x:c>
      <x:c r="X1085" s="9" t="str">
        <x:v>Unknown</x:v>
      </x:c>
      <x:c r="Y1085" s="9" t="str"/>
      <x:c r="Z1085" s="9" t="str">
        <x:v>Unknown — verify</x:v>
      </x:c>
      <x:c r="AA1085" s="9" t="str">
        <x:v>Live-action interactive romantic movie featuring Yua Mikami.</x:v>
      </x:c>
      <x:c r="AB1085" s="9" t="str">
        <x:v>Unknown — verify</x:v>
      </x:c>
      <x:c r="AC1085" s="9" t="str">
        <x:v>Live-action video carries the story and player choices.</x:v>
      </x:c>
      <x:c r="AD1085" s="9" t="str">
        <x:v>Unknown — verify</x:v>
      </x:c>
      <x:c r="AE1085" s="9" t="str">
        <x:v>Unknown — verify</x:v>
      </x:c>
      <x:c r="AF1085" s="9" t="str"/>
      <x:c r="AG1085" s="9" t="str"/>
      <x:c r="AH1085" s="9" t="str">
        <x:v>Yes (Steam)</x:v>
      </x:c>
      <x:c r="AI1085" s="9" t="str">
        <x:v>Easy</x:v>
      </x:c>
      <x:c r="AJ1085" s="9" t="str">
        <x:v>Steam: https://store.steampowered.com/app/2918550/Drive_Me_Crazy/</x:v>
      </x:c>
      <x:c r="AK1085" s="9" t="str">
        <x:v>Live-action interactive romantic movie featuring Yua Mikami. July12 2024; English subtitles. Current Steam purchase. Publishers EE GAMES/Tenth Art Studio. Primary source: https://store.steampowered.com/app/2918550/Drive_Me_Crazy/</x:v>
      </x:c>
      <x:c r="AL1085" s="10"/>
      <x:c r="AM1085" s="10"/>
      <x:c r="AN1085" s="10"/>
      <x:c r="AO1085" s="9"/>
      <x:c r="AP1085" s="11"/>
      <x:c r="AQ1085" s="9" t="n">
        <x:v>12.99</x:v>
      </x:c>
      <x:c r="AR1085" s="9" t="str">
        <x:v>Steam</x:v>
      </x:c>
      <x:c r="AS1085" s="9" t="str">
        <x:f>HYPERLINK("https://store.steampowered.com/app/2918550/","Store")</x:f>
        <x:v>Store</x:v>
      </x:c>
      <x:c r="AT1085" s="9" t="str">
        <x:v>2026-10-25</x:v>
      </x:c>
      <x:c r="AU1085" s="9"/>
      <x:c r="AV1085" s="9"/>
      <x:c r="AW1085" s="9"/>
      <x:c r="AX1085" s="9"/>
      <x:c r="AY1085" s="9"/>
      <x:c r="AZ1085" s="9"/>
      <x:c r="BA1085" s="11"/>
      <x:c r="BB1085" s="9"/>
      <x:c r="BC1085" s="9"/>
      <x:c r="BD1085" s="9"/>
      <x:c r="BE1085" s="9"/>
      <x:c r="BF1085" s="11" t="str">
        <x:f>HYPERLINK("https://backloggd.com/search/games/Drive+Me+Crazy/","Backloggd")</x:f>
        <x:v>Backloggd</x:v>
      </x:c>
      <x:c r="BG1085" s="9"/>
      <x:c r="BH1085" s="9"/>
      <x:c r="BI1085" s="12" t="str">
        <x:v>No</x:v>
      </x:c>
      <x:c r="BJ1085" s="12" t="str"/>
      <x:c r="BK1085" s="12" t="str">
        <x:v>No</x:v>
      </x:c>
      <x:c r="BL1085" s="12" t="str"/>
      <x:c r="BM1085" s="12" t="str"/>
      <x:c r="BN1085" s="12" t="str"/>
      <x:c r="BO1085" s="12" t="str"/>
      <x:c r="BP1085" s="12" t="str"/>
      <x:c r="BQ1085" s="12" t="str"/>
    </x:row>
    <x:row r="1086">
      <x:c r="A1086" s="9" t="str">
        <x:v>pc-345</x:v>
      </x:c>
      <x:c r="B1086" s="9" t="str">
        <x:v>my-destiny-girls</x:v>
      </x:c>
      <x:c r="C1086" s="9" t="str">
        <x:v>PC</x:v>
      </x:c>
      <x:c r="D1086" s="9" t="str">
        <x:v>MY DESTINY GIRLS</x:v>
      </x:c>
      <x:c r="E1086" s="9" t="str"/>
      <x:c r="F1086" s="9" t="str">
        <x:v>KARMAGAME HK LIMITED</x:v>
      </x:c>
      <x:c r="G1086" s="9" t="str">
        <x:v>EpicDream Games</x:v>
      </x:c>
      <x:c r="H1086" s="9" t="n">
        <x:v>2024</x:v>
      </x:c>
      <x:c r="I1086" s="9" t="str">
        <x:v>Yes</x:v>
      </x:c>
      <x:c r="J1086" s="9" t="str">
        <x:v>No</x:v>
      </x:c>
      <x:c r="K1086" s="9" t="str">
        <x:v>Yes</x:v>
      </x:c>
      <x:c r="L1086" s="9" t="str">
        <x:v>No</x:v>
      </x:c>
      <x:c r="M1086" s="9" t="str">
        <x:v>FMV interactive movie</x:v>
      </x:c>
      <x:c r="N1086" s="9" t="str">
        <x:v>Live-action</x:v>
      </x:c>
      <x:c r="O1086" s="9" t="n">
        <x:v>10</x:v>
      </x:c>
      <x:c r="P1086" s="9" t="str">
        <x:v>Interactive movie</x:v>
      </x:c>
      <x:c r="Q1086" s="9" t="str">
        <x:v>Released</x:v>
      </x:c>
      <x:c r="R1086" s="9" t="str">
        <x:v>Original production</x:v>
      </x:c>
      <x:c r="S1086" s="9" t="str">
        <x:v>Unknown — verify</x:v>
      </x:c>
      <x:c r="T1086" s="9" t="str">
        <x:v>Unknown — verify</x:v>
      </x:c>
      <x:c r="U1086" s="9" t="n">
        <x:v>0</x:v>
      </x:c>
      <x:c r="V1086" s="9" t="str">
        <x:v>Unknown — verify</x:v>
      </x:c>
      <x:c r="W1086" s="9" t="str">
        <x:v>Windows PC; see store requirements</x:v>
      </x:c>
      <x:c r="X1086" s="9" t="str">
        <x:v>Unknown</x:v>
      </x:c>
      <x:c r="Y1086" s="9" t="str"/>
      <x:c r="Z1086" s="9" t="str">
        <x:v>Unknown — verify</x:v>
      </x:c>
      <x:c r="AA1086" s="9" t="str">
        <x:v>Live-action six-romance movie game.</x:v>
      </x:c>
      <x:c r="AB1086" s="9" t="str">
        <x:v>Unknown — verify</x:v>
      </x:c>
      <x:c r="AC1086" s="9" t="str">
        <x:v>Live-action video carries the story and player choices.</x:v>
      </x:c>
      <x:c r="AD1086" s="9" t="str">
        <x:v>Unknown — verify</x:v>
      </x:c>
      <x:c r="AE1086" s="9" t="str">
        <x:v>Unknown — verify</x:v>
      </x:c>
      <x:c r="AF1086" s="9" t="str"/>
      <x:c r="AG1086" s="9" t="str"/>
      <x:c r="AH1086" s="9" t="str">
        <x:v>Yes (Steam)</x:v>
      </x:c>
      <x:c r="AI1086" s="9" t="str">
        <x:v>Easy</x:v>
      </x:c>
      <x:c r="AJ1086" s="9" t="str">
        <x:v>Steam: https://store.steampowered.com/app/2766860/MY_DESTINY_GIRLS/</x:v>
      </x:c>
      <x:c r="AK1086" s="9" t="str">
        <x:v>Live-action six-romance movie game. Mar28 2024; Windows Steam English and ten other subtitle languages; roughly 685 Steam reviews at source check. Publisher EpicDream Games. Primary source: https://store.steampowered.com/app/2766860/MY_DESTINY_GIRLS/</x:v>
      </x:c>
      <x:c r="AL1086" s="10"/>
      <x:c r="AM1086" s="10"/>
      <x:c r="AN1086" s="10"/>
      <x:c r="AO1086" s="9"/>
      <x:c r="AP1086" s="11"/>
      <x:c r="AQ1086" s="9" t="n">
        <x:v>9.99</x:v>
      </x:c>
      <x:c r="AR1086" s="9" t="str">
        <x:v>Steam</x:v>
      </x:c>
      <x:c r="AS1086" s="9" t="str">
        <x:f>HYPERLINK("https://store.steampowered.com/app/2766860/","Store")</x:f>
        <x:v>Store</x:v>
      </x:c>
      <x:c r="AT1086" s="9" t="str">
        <x:v>2026-10-25</x:v>
      </x:c>
      <x:c r="AU1086" s="9"/>
      <x:c r="AV1086" s="9"/>
      <x:c r="AW1086" s="9"/>
      <x:c r="AX1086" s="9"/>
      <x:c r="AY1086" s="9"/>
      <x:c r="AZ1086" s="9"/>
      <x:c r="BA1086" s="11"/>
      <x:c r="BB1086" s="9"/>
      <x:c r="BC1086" s="9"/>
      <x:c r="BD1086" s="9"/>
      <x:c r="BE1086" s="9"/>
      <x:c r="BF1086" s="11" t="str">
        <x:f>HYPERLINK("https://backloggd.com/search/games/MY+DESTINY+GIRLS/","Backloggd")</x:f>
        <x:v>Backloggd</x:v>
      </x:c>
      <x:c r="BG1086" s="9"/>
      <x:c r="BH1086" s="9"/>
      <x:c r="BI1086" s="12" t="str">
        <x:v>No</x:v>
      </x:c>
      <x:c r="BJ1086" s="12" t="str"/>
      <x:c r="BK1086" s="12" t="str">
        <x:v>No</x:v>
      </x:c>
      <x:c r="BL1086" s="12" t="str"/>
      <x:c r="BM1086" s="12" t="str"/>
      <x:c r="BN1086" s="12" t="str"/>
      <x:c r="BO1086" s="12" t="str"/>
      <x:c r="BP1086" s="12" t="str"/>
      <x:c r="BQ1086" s="12" t="str"/>
    </x:row>
    <x:row r="1087">
      <x:c r="A1087" s="9" t="str">
        <x:v>pc-346</x:v>
      </x:c>
      <x:c r="B1087" s="9" t="str">
        <x:v>secrets-of-the-heartbeat</x:v>
      </x:c>
      <x:c r="C1087" s="9" t="str">
        <x:v>PC</x:v>
      </x:c>
      <x:c r="D1087" s="9" t="str">
        <x:v>Secrets of the Heartbeat</x:v>
      </x:c>
      <x:c r="E1087" s="9" t="str"/>
      <x:c r="F1087" s="9" t="str">
        <x:v>RainbowGame</x:v>
      </x:c>
      <x:c r="G1087" s="9" t="str">
        <x:v>RainbowGame</x:v>
      </x:c>
      <x:c r="H1087" s="9" t="n">
        <x:v>2024</x:v>
      </x:c>
      <x:c r="I1087" s="9" t="str">
        <x:v>Yes</x:v>
      </x:c>
      <x:c r="J1087" s="9" t="str">
        <x:v>No</x:v>
      </x:c>
      <x:c r="K1087" s="9" t="str">
        <x:v>Yes</x:v>
      </x:c>
      <x:c r="L1087" s="9" t="str">
        <x:v>No</x:v>
      </x:c>
      <x:c r="M1087" s="9" t="str">
        <x:v>FMV interactive movie</x:v>
      </x:c>
      <x:c r="N1087" s="9" t="str">
        <x:v>Live-action</x:v>
      </x:c>
      <x:c r="O1087" s="9" t="n">
        <x:v>10</x:v>
      </x:c>
      <x:c r="P1087" s="9" t="str">
        <x:v>Interactive movie</x:v>
      </x:c>
      <x:c r="Q1087" s="9" t="str">
        <x:v>Released</x:v>
      </x:c>
      <x:c r="R1087" s="9" t="str">
        <x:v>Original production</x:v>
      </x:c>
      <x:c r="S1087" s="9" t="str">
        <x:v>Unknown — verify</x:v>
      </x:c>
      <x:c r="T1087" s="9" t="str">
        <x:v>Unknown — verify</x:v>
      </x:c>
      <x:c r="U1087" s="9" t="n">
        <x:v>0</x:v>
      </x:c>
      <x:c r="V1087" s="9" t="str">
        <x:v>Unknown — verify</x:v>
      </x:c>
      <x:c r="W1087" s="9" t="str">
        <x:v>Windows PC; see store requirements</x:v>
      </x:c>
      <x:c r="X1087" s="9" t="str">
        <x:v>Unknown</x:v>
      </x:c>
      <x:c r="Y1087" s="9" t="str"/>
      <x:c r="Z1087" s="9" t="str">
        <x:v>Unknown — verify</x:v>
      </x:c>
      <x:c r="AA1087" s="9" t="str">
        <x:v>Primary description explicitly says real-life video interactive game, shot first-person in 4K.</x:v>
      </x:c>
      <x:c r="AB1087" s="9" t="str">
        <x:v>Unknown — verify</x:v>
      </x:c>
      <x:c r="AC1087" s="9" t="str">
        <x:v>Live-action video carries the story and player choices.</x:v>
      </x:c>
      <x:c r="AD1087" s="9" t="str">
        <x:v>Unknown — verify</x:v>
      </x:c>
      <x:c r="AE1087" s="9" t="str">
        <x:v>Unknown — verify</x:v>
      </x:c>
      <x:c r="AF1087" s="9" t="str"/>
      <x:c r="AG1087" s="9" t="str"/>
      <x:c r="AH1087" s="9" t="str">
        <x:v>Yes (Steam)</x:v>
      </x:c>
      <x:c r="AI1087" s="9" t="str">
        <x:v>Easy</x:v>
      </x:c>
      <x:c r="AJ1087" s="9" t="str">
        <x:v>Steam: https://store.steampowered.com/app/2774190/Secrets_of_the_Heartbeat/</x:v>
      </x:c>
      <x:c r="AK1087" s="9" t="str">
        <x:v>Primary description explicitly says real-life video interactive game, shot first-person in 4K. June7 2024. Windows Steam; English available; roughly 680 reviews. Primary source: https://store.steampowered.com/app/2774190/Secrets_of_the_Heartbeat/</x:v>
      </x:c>
      <x:c r="AL1087" s="10"/>
      <x:c r="AM1087" s="10"/>
      <x:c r="AN1087" s="10"/>
      <x:c r="AO1087" s="9"/>
      <x:c r="AP1087" s="11"/>
      <x:c r="AQ1087" s="9" t="n">
        <x:v>6.99</x:v>
      </x:c>
      <x:c r="AR1087" s="9" t="str">
        <x:v>Steam</x:v>
      </x:c>
      <x:c r="AS1087" s="9" t="str">
        <x:f>HYPERLINK("https://store.steampowered.com/app/2774190/","Store")</x:f>
        <x:v>Store</x:v>
      </x:c>
      <x:c r="AT1087" s="9" t="str">
        <x:v>2026-10-25</x:v>
      </x:c>
      <x:c r="AU1087" s="9"/>
      <x:c r="AV1087" s="9"/>
      <x:c r="AW1087" s="9"/>
      <x:c r="AX1087" s="9"/>
      <x:c r="AY1087" s="9"/>
      <x:c r="AZ1087" s="9"/>
      <x:c r="BA1087" s="11"/>
      <x:c r="BB1087" s="9"/>
      <x:c r="BC1087" s="9"/>
      <x:c r="BD1087" s="9"/>
      <x:c r="BE1087" s="9"/>
      <x:c r="BF1087" s="11" t="str">
        <x:f>HYPERLINK("https://backloggd.com/search/games/Secrets+of+the+Heartbeat/","Backloggd")</x:f>
        <x:v>Backloggd</x:v>
      </x:c>
      <x:c r="BG1087" s="9"/>
      <x:c r="BH1087" s="9"/>
      <x:c r="BI1087" s="12" t="str">
        <x:v>No</x:v>
      </x:c>
      <x:c r="BJ1087" s="12" t="str"/>
      <x:c r="BK1087" s="12" t="str">
        <x:v>No</x:v>
      </x:c>
      <x:c r="BL1087" s="12" t="str"/>
      <x:c r="BM1087" s="12" t="str"/>
      <x:c r="BN1087" s="12" t="str"/>
      <x:c r="BO1087" s="12" t="str"/>
      <x:c r="BP1087" s="12" t="str"/>
      <x:c r="BQ1087" s="12" t="str"/>
    </x:row>
    <x:row r="1088">
      <x:c r="A1088" s="9" t="str">
        <x:v>pc-347</x:v>
      </x:c>
      <x:c r="B1088" s="9" t="str">
        <x:v>charming-hearts</x:v>
      </x:c>
      <x:c r="C1088" s="9" t="str">
        <x:v>PC</x:v>
      </x:c>
      <x:c r="D1088" s="9" t="str">
        <x:v>Charming Hearts</x:v>
      </x:c>
      <x:c r="E1088" s="9" t="str"/>
      <x:c r="F1088" s="9" t="str">
        <x:v>坤舆科技, 一冉影视</x:v>
      </x:c>
      <x:c r="G1088" s="9" t="str">
        <x:v>坤舆科技</x:v>
      </x:c>
      <x:c r="H1088" s="9" t="n">
        <x:v>2024</x:v>
      </x:c>
      <x:c r="I1088" s="9" t="str">
        <x:v>Yes</x:v>
      </x:c>
      <x:c r="J1088" s="9" t="str">
        <x:v>No</x:v>
      </x:c>
      <x:c r="K1088" s="9" t="str">
        <x:v>Yes</x:v>
      </x:c>
      <x:c r="L1088" s="9" t="str">
        <x:v>No</x:v>
      </x:c>
      <x:c r="M1088" s="9" t="str">
        <x:v>FMV interactive movie</x:v>
      </x:c>
      <x:c r="N1088" s="9" t="str">
        <x:v>Live-action</x:v>
      </x:c>
      <x:c r="O1088" s="9" t="n">
        <x:v>10</x:v>
      </x:c>
      <x:c r="P1088" s="9" t="str">
        <x:v>Interactive movie</x:v>
      </x:c>
      <x:c r="Q1088" s="9" t="str">
        <x:v>Released</x:v>
      </x:c>
      <x:c r="R1088" s="9" t="str">
        <x:v>Original production</x:v>
      </x:c>
      <x:c r="S1088" s="9" t="str">
        <x:v>Unknown — verify</x:v>
      </x:c>
      <x:c r="T1088" s="9" t="str">
        <x:v>Unknown — verify</x:v>
      </x:c>
      <x:c r="U1088" s="9" t="n">
        <x:v>0</x:v>
      </x:c>
      <x:c r="V1088" s="9" t="str">
        <x:v>Unknown — verify</x:v>
      </x:c>
      <x:c r="W1088" s="9" t="str">
        <x:v>Windows PC; see store requirements</x:v>
      </x:c>
      <x:c r="X1088" s="9" t="str">
        <x:v>Unknown</x:v>
      </x:c>
      <x:c r="Y1088" s="9" t="str"/>
      <x:c r="Z1088" s="9" t="str">
        <x:v>Unknown — verify</x:v>
      </x:c>
      <x:c r="AA1088" s="9" t="str">
        <x:v>Primary description says real-life interactive dating game.</x:v>
      </x:c>
      <x:c r="AB1088" s="9" t="str">
        <x:v>Unknown — verify</x:v>
      </x:c>
      <x:c r="AC1088" s="9" t="str">
        <x:v>Live-action video carries the story and player choices.</x:v>
      </x:c>
      <x:c r="AD1088" s="9" t="str">
        <x:v>Unknown — verify</x:v>
      </x:c>
      <x:c r="AE1088" s="9" t="str">
        <x:v>Unknown — verify</x:v>
      </x:c>
      <x:c r="AF1088" s="9" t="str"/>
      <x:c r="AG1088" s="9" t="str"/>
      <x:c r="AH1088" s="9" t="str">
        <x:v>Yes (Steam)</x:v>
      </x:c>
      <x:c r="AI1088" s="9" t="str">
        <x:v>Easy</x:v>
      </x:c>
      <x:c r="AJ1088" s="9" t="str">
        <x:v>Steam: https://store.steampowered.com/app/2817140/</x:v>
      </x:c>
      <x:c r="AK1088" s="9" t="str">
        <x:v>Primary description says real-life interactive dating game. June13 2024. Windows Steam English subtitles; roughly 528 reviews. Publisher 坤舆科技. Primary source: https://store.steampowered.com/app/2817140/</x:v>
      </x:c>
      <x:c r="AL1088" s="10"/>
      <x:c r="AM1088" s="10"/>
      <x:c r="AN1088" s="10"/>
      <x:c r="AO1088" s="9"/>
      <x:c r="AP1088" s="11"/>
      <x:c r="AQ1088" s="9" t="n">
        <x:v>9.99</x:v>
      </x:c>
      <x:c r="AR1088" s="9" t="str">
        <x:v>Steam</x:v>
      </x:c>
      <x:c r="AS1088" s="9" t="str">
        <x:f>HYPERLINK("https://store.steampowered.com/app/2817140/","Store")</x:f>
        <x:v>Store</x:v>
      </x:c>
      <x:c r="AT1088" s="9" t="str">
        <x:v>2026-10-25</x:v>
      </x:c>
      <x:c r="AU1088" s="9"/>
      <x:c r="AV1088" s="9"/>
      <x:c r="AW1088" s="9"/>
      <x:c r="AX1088" s="9"/>
      <x:c r="AY1088" s="9"/>
      <x:c r="AZ1088" s="9"/>
      <x:c r="BA1088" s="11"/>
      <x:c r="BB1088" s="9"/>
      <x:c r="BC1088" s="9"/>
      <x:c r="BD1088" s="9"/>
      <x:c r="BE1088" s="9"/>
      <x:c r="BF1088" s="11" t="str">
        <x:f>HYPERLINK("https://backloggd.com/search/games/Charming+Hearts/","Backloggd")</x:f>
        <x:v>Backloggd</x:v>
      </x:c>
      <x:c r="BG1088" s="9"/>
      <x:c r="BH1088" s="9"/>
      <x:c r="BI1088" s="12" t="str">
        <x:v>No</x:v>
      </x:c>
      <x:c r="BJ1088" s="12" t="str"/>
      <x:c r="BK1088" s="12" t="str">
        <x:v>No</x:v>
      </x:c>
      <x:c r="BL1088" s="12" t="str"/>
      <x:c r="BM1088" s="12" t="str"/>
      <x:c r="BN1088" s="12" t="str"/>
      <x:c r="BO1088" s="12" t="str"/>
      <x:c r="BP1088" s="12" t="str"/>
      <x:c r="BQ1088" s="12" t="str"/>
    </x:row>
    <x:row r="1089">
      <x:c r="A1089" s="9" t="str">
        <x:v>pc-348</x:v>
      </x:c>
      <x:c r="B1089" s="9" t="str">
        <x:v>i-ve-fallen-for-you</x:v>
      </x:c>
      <x:c r="C1089" s="9" t="str">
        <x:v>PC</x:v>
      </x:c>
      <x:c r="D1089" s="9" t="str">
        <x:v>I've Fallen For You!</x:v>
      </x:c>
      <x:c r="E1089" s="9" t="str"/>
      <x:c r="F1089" s="9" t="str">
        <x:v>LOVE MOOD STUDIO LIMITED</x:v>
      </x:c>
      <x:c r="G1089" s="9" t="str">
        <x:v>LOVE MOOD STUDIO LIMITED</x:v>
      </x:c>
      <x:c r="H1089" s="9" t="n">
        <x:v>2024</x:v>
      </x:c>
      <x:c r="I1089" s="9" t="str">
        <x:v>Yes</x:v>
      </x:c>
      <x:c r="J1089" s="9" t="str">
        <x:v>No</x:v>
      </x:c>
      <x:c r="K1089" s="9" t="str">
        <x:v>Yes</x:v>
      </x:c>
      <x:c r="L1089" s="9" t="str">
        <x:v>No</x:v>
      </x:c>
      <x:c r="M1089" s="9" t="str">
        <x:v>FMV interactive movie</x:v>
      </x:c>
      <x:c r="N1089" s="9" t="str">
        <x:v>Live-action</x:v>
      </x:c>
      <x:c r="O1089" s="9" t="n">
        <x:v>10</x:v>
      </x:c>
      <x:c r="P1089" s="9" t="str">
        <x:v>Interactive movie</x:v>
      </x:c>
      <x:c r="Q1089" s="9" t="str">
        <x:v>Released</x:v>
      </x:c>
      <x:c r="R1089" s="9" t="str">
        <x:v>Original production</x:v>
      </x:c>
      <x:c r="S1089" s="9" t="str">
        <x:v>Unknown — verify</x:v>
      </x:c>
      <x:c r="T1089" s="9" t="str">
        <x:v>Unknown — verify</x:v>
      </x:c>
      <x:c r="U1089" s="9" t="n">
        <x:v>0</x:v>
      </x:c>
      <x:c r="V1089" s="9" t="str">
        <x:v>Unknown — verify</x:v>
      </x:c>
      <x:c r="W1089" s="9" t="str">
        <x:v>Windows PC; see store requirements</x:v>
      </x:c>
      <x:c r="X1089" s="9" t="str">
        <x:v>Unknown</x:v>
      </x:c>
      <x:c r="Y1089" s="9" t="str"/>
      <x:c r="Z1089" s="9" t="str">
        <x:v>Unknown — verify</x:v>
      </x:c>
      <x:c r="AA1089" s="9" t="str">
        <x:v>Live-action romance cinematic game with eight women; Oct15 2024.</x:v>
      </x:c>
      <x:c r="AB1089" s="9" t="str">
        <x:v>Unknown — verify</x:v>
      </x:c>
      <x:c r="AC1089" s="9" t="str">
        <x:v>Live-action video carries the story and player choices.</x:v>
      </x:c>
      <x:c r="AD1089" s="9" t="str">
        <x:v>Unknown — verify</x:v>
      </x:c>
      <x:c r="AE1089" s="9" t="str">
        <x:v>Unknown — verify</x:v>
      </x:c>
      <x:c r="AF1089" s="9" t="str"/>
      <x:c r="AG1089" s="9" t="str"/>
      <x:c r="AH1089" s="9" t="str">
        <x:v>Yes (Steam)</x:v>
      </x:c>
      <x:c r="AI1089" s="9" t="str">
        <x:v>Easy</x:v>
      </x:c>
      <x:c r="AJ1089" s="9" t="str">
        <x:v>Steam: https://store.steampowered.com/app/2754690/Ive_Fallen_For_You/</x:v>
      </x:c>
      <x:c r="AK1089" s="9" t="str">
        <x:v>Live-action romance cinematic game with eight women; Oct15 2024. Windows/Mac Steam, English subtitles; roughly 731 reviews. Primary source: https://store.steampowered.com/app/2754690/Ive_Fallen_For_You/</x:v>
      </x:c>
      <x:c r="AL1089" s="10"/>
      <x:c r="AM1089" s="10"/>
      <x:c r="AN1089" s="10"/>
      <x:c r="AO1089" s="9"/>
      <x:c r="AP1089" s="11"/>
      <x:c r="AQ1089" s="9" t="n">
        <x:v>7.99</x:v>
      </x:c>
      <x:c r="AR1089" s="9" t="str">
        <x:v>Steam</x:v>
      </x:c>
      <x:c r="AS1089" s="9" t="str">
        <x:f>HYPERLINK("https://store.steampowered.com/app/2754690/","Store")</x:f>
        <x:v>Store</x:v>
      </x:c>
      <x:c r="AT1089" s="9" t="str">
        <x:v>2026-10-25</x:v>
      </x:c>
      <x:c r="AU1089" s="9"/>
      <x:c r="AV1089" s="9"/>
      <x:c r="AW1089" s="9"/>
      <x:c r="AX1089" s="9"/>
      <x:c r="AY1089" s="9"/>
      <x:c r="AZ1089" s="9"/>
      <x:c r="BA1089" s="11"/>
      <x:c r="BB1089" s="9"/>
      <x:c r="BC1089" s="9"/>
      <x:c r="BD1089" s="9"/>
      <x:c r="BE1089" s="9"/>
      <x:c r="BF1089" s="11" t="str">
        <x:f>HYPERLINK("https://backloggd.com/search/games/I%27ve+Fallen+For+You%21/","Backloggd")</x:f>
        <x:v>Backloggd</x:v>
      </x:c>
      <x:c r="BG1089" s="9"/>
      <x:c r="BH1089" s="9"/>
      <x:c r="BI1089" s="12" t="str">
        <x:v>No</x:v>
      </x:c>
      <x:c r="BJ1089" s="12" t="str"/>
      <x:c r="BK1089" s="12" t="str">
        <x:v>No</x:v>
      </x:c>
      <x:c r="BL1089" s="12" t="str"/>
      <x:c r="BM1089" s="12" t="str"/>
      <x:c r="BN1089" s="12" t="str"/>
      <x:c r="BO1089" s="12" t="str"/>
      <x:c r="BP1089" s="12" t="str"/>
      <x:c r="BQ1089" s="12" t="str"/>
    </x:row>
    <x:row r="1090">
      <x:c r="A1090" s="9" t="str">
        <x:v>pc-349</x:v>
      </x:c>
      <x:c r="B1090" s="9" t="str">
        <x:v>only-you-2024</x:v>
      </x:c>
      <x:c r="C1090" s="9" t="str">
        <x:v>PC</x:v>
      </x:c>
      <x:c r="D1090" s="9" t="str">
        <x:v>恋爱单选题</x:v>
      </x:c>
      <x:c r="E1090" s="9" t="str">
        <x:v>Only You</x:v>
      </x:c>
      <x:c r="F1090" s="9" t="str">
        <x:v>无忧传媒</x:v>
      </x:c>
      <x:c r="G1090" s="9" t="str">
        <x:v>无忧传媒; 指间宇宙</x:v>
      </x:c>
      <x:c r="H1090" s="9" t="n">
        <x:v>2024</x:v>
      </x:c>
      <x:c r="I1090" s="9" t="str">
        <x:v>Yes</x:v>
      </x:c>
      <x:c r="J1090" s="9" t="str">
        <x:v>No</x:v>
      </x:c>
      <x:c r="K1090" s="9" t="str">
        <x:v>Yes</x:v>
      </x:c>
      <x:c r="L1090" s="9" t="str">
        <x:v>No</x:v>
      </x:c>
      <x:c r="M1090" s="9" t="str">
        <x:v>FMV interactive movie</x:v>
      </x:c>
      <x:c r="N1090" s="9" t="str">
        <x:v>Live-action</x:v>
      </x:c>
      <x:c r="O1090" s="9" t="n">
        <x:v>10</x:v>
      </x:c>
      <x:c r="P1090" s="9" t="str">
        <x:v>Interactive movie</x:v>
      </x:c>
      <x:c r="Q1090" s="9" t="str">
        <x:v>Released</x:v>
      </x:c>
      <x:c r="R1090" s="9" t="str">
        <x:v>Original production</x:v>
      </x:c>
      <x:c r="S1090" s="9" t="str">
        <x:v>Unknown — verify</x:v>
      </x:c>
      <x:c r="T1090" s="9" t="str">
        <x:v>Unknown — verify</x:v>
      </x:c>
      <x:c r="U1090" s="9" t="n">
        <x:v>0</x:v>
      </x:c>
      <x:c r="V1090" s="9" t="str">
        <x:v>Unknown — verify</x:v>
      </x:c>
      <x:c r="W1090" s="9" t="str">
        <x:v>Windows PC; see store requirements</x:v>
      </x:c>
      <x:c r="X1090" s="9" t="str">
        <x:v>Unknown</x:v>
      </x:c>
      <x:c r="Y1090" s="9" t="str"/>
      <x:c r="Z1090" s="9" t="str">
        <x:v>Unknown — verify</x:v>
      </x:c>
      <x:c r="AA1090" s="9" t="str">
        <x:v>Major Chinese-language live-action romantic game missing: July18 2024, 2423 reviews, Windows Steam purchase.</x:v>
      </x:c>
      <x:c r="AB1090" s="9" t="str">
        <x:v>Unknown — verify</x:v>
      </x:c>
      <x:c r="AC1090" s="9" t="str">
        <x:v>Live-action video carries the story and player choices.</x:v>
      </x:c>
      <x:c r="AD1090" s="9" t="str">
        <x:v>Unknown — verify</x:v>
      </x:c>
      <x:c r="AE1090" s="9" t="str">
        <x:v>Unknown — verify</x:v>
      </x:c>
      <x:c r="AF1090" s="9" t="str"/>
      <x:c r="AG1090" s="9" t="str"/>
      <x:c r="AH1090" s="9" t="str">
        <x:v>Yes (Steam)</x:v>
      </x:c>
      <x:c r="AI1090" s="9" t="str">
        <x:v>Easy</x:v>
      </x:c>
      <x:c r="AJ1090" s="9" t="str">
        <x:v>Steam: https://store.steampowered.com/app/2865490/</x:v>
      </x:c>
      <x:c r="AK1090" s="9" t="str">
        <x:v>Major Chinese-language live-action romantic game missing: July18 2024, 2423 reviews, Windows Steam purchase. No English support. Alternate English marketing title Only You. Publisher 无忧传媒, 指间宇宙. Primary source: https://store.steampowered.com/app/2865490/</x:v>
      </x:c>
      <x:c r="AL1090" s="10"/>
      <x:c r="AM1090" s="10"/>
      <x:c r="AN1090" s="10"/>
      <x:c r="AO1090" s="9"/>
      <x:c r="AP1090" s="11"/>
      <x:c r="AQ1090" s="9" t="n">
        <x:v>10.99</x:v>
      </x:c>
      <x:c r="AR1090" s="9" t="str">
        <x:v>Steam</x:v>
      </x:c>
      <x:c r="AS1090" s="9" t="str">
        <x:f>HYPERLINK("https://store.steampowered.com/app/2865490/","Store")</x:f>
        <x:v>Store</x:v>
      </x:c>
      <x:c r="AT1090" s="9" t="str">
        <x:v>2026-10-25</x:v>
      </x:c>
      <x:c r="AU1090" s="9"/>
      <x:c r="AV1090" s="9"/>
      <x:c r="AW1090" s="9"/>
      <x:c r="AX1090" s="9"/>
      <x:c r="AY1090" s="9"/>
      <x:c r="AZ1090" s="9"/>
      <x:c r="BA1090" s="11"/>
      <x:c r="BB1090" s="9"/>
      <x:c r="BC1090" s="9"/>
      <x:c r="BD1090" s="9"/>
      <x:c r="BE1090" s="9"/>
      <x:c r="BF1090" s="11" t="str">
        <x:f>HYPERLINK("https://backloggd.com/search/games/%E6%81%8B%E7%88%B1%E5%8D%95%E9%80%89%E9%A2%98/","Backloggd")</x:f>
        <x:v>Backloggd</x:v>
      </x:c>
      <x:c r="BG1090" s="9"/>
      <x:c r="BH1090" s="9"/>
      <x:c r="BI1090" s="12" t="str">
        <x:v>No</x:v>
      </x:c>
      <x:c r="BJ1090" s="12" t="str"/>
      <x:c r="BK1090" s="12" t="str">
        <x:v>No</x:v>
      </x:c>
      <x:c r="BL1090" s="12" t="str"/>
      <x:c r="BM1090" s="12" t="str"/>
      <x:c r="BN1090" s="12" t="str"/>
      <x:c r="BO1090" s="12" t="str"/>
      <x:c r="BP1090" s="12" t="str"/>
      <x:c r="BQ1090" s="12" t="str"/>
    </x:row>
    <x:row r="1091">
      <x:c r="A1091" s="9" t="str">
        <x:v>pc-350</x:v>
      </x:c>
      <x:c r="B1091" s="9" t="str">
        <x:v>beauties-they-re-all-after-me</x:v>
      </x:c>
      <x:c r="C1091" s="9" t="str">
        <x:v>PC</x:v>
      </x:c>
      <x:c r="D1091" s="9" t="str">
        <x:v>Beauties! They're All After Me</x:v>
      </x:c>
      <x:c r="E1091" s="9" t="str"/>
      <x:c r="F1091" s="9" t="str">
        <x:v>Beauties! They're All After Me</x:v>
      </x:c>
      <x:c r="G1091" s="9" t="str">
        <x:v>Beauties! They're All After Me</x:v>
      </x:c>
      <x:c r="H1091" s="9" t="n">
        <x:v>2024</x:v>
      </x:c>
      <x:c r="I1091" s="9" t="str">
        <x:v>Yes</x:v>
      </x:c>
      <x:c r="J1091" s="9" t="str">
        <x:v>No</x:v>
      </x:c>
      <x:c r="K1091" s="9" t="str">
        <x:v>Yes</x:v>
      </x:c>
      <x:c r="L1091" s="9" t="str">
        <x:v>No</x:v>
      </x:c>
      <x:c r="M1091" s="9" t="str">
        <x:v>FMV interactive movie</x:v>
      </x:c>
      <x:c r="N1091" s="9" t="str">
        <x:v>Live-action</x:v>
      </x:c>
      <x:c r="O1091" s="9" t="n">
        <x:v>10</x:v>
      </x:c>
      <x:c r="P1091" s="9" t="str">
        <x:v>Interactive movie</x:v>
      </x:c>
      <x:c r="Q1091" s="9" t="str">
        <x:v>Released</x:v>
      </x:c>
      <x:c r="R1091" s="9" t="str">
        <x:v>Original production</x:v>
      </x:c>
      <x:c r="S1091" s="9" t="str">
        <x:v>Unknown — verify</x:v>
      </x:c>
      <x:c r="T1091" s="9" t="str">
        <x:v>Unknown — verify</x:v>
      </x:c>
      <x:c r="U1091" s="9" t="n">
        <x:v>0</x:v>
      </x:c>
      <x:c r="V1091" s="9" t="str">
        <x:v>Unknown — verify</x:v>
      </x:c>
      <x:c r="W1091" s="9" t="str">
        <x:v>Windows PC; see store requirements</x:v>
      </x:c>
      <x:c r="X1091" s="9" t="str">
        <x:v>Unknown</x:v>
      </x:c>
      <x:c r="Y1091" s="9" t="str"/>
      <x:c r="Z1091" s="9" t="str">
        <x:v>Unknown — verify</x:v>
      </x:c>
      <x:c r="AA1091" s="9" t="str">
        <x:v>Live-action romance game, Jun21 2024; current Steam purchase and English support.</x:v>
      </x:c>
      <x:c r="AB1091" s="9" t="str">
        <x:v>Unknown — verify</x:v>
      </x:c>
      <x:c r="AC1091" s="9" t="str">
        <x:v>Live-action video carries the story and player choices.</x:v>
      </x:c>
      <x:c r="AD1091" s="9" t="str">
        <x:v>Unknown — verify</x:v>
      </x:c>
      <x:c r="AE1091" s="9" t="str">
        <x:v>Unknown — verify</x:v>
      </x:c>
      <x:c r="AF1091" s="9" t="str"/>
      <x:c r="AG1091" s="9" t="str"/>
      <x:c r="AH1091" s="9" t="str">
        <x:v>Yes (Steam)</x:v>
      </x:c>
      <x:c r="AI1091" s="9" t="str">
        <x:v>Easy</x:v>
      </x:c>
      <x:c r="AJ1091" s="9" t="str">
        <x:v>Steam: https://store.steampowered.com/app/2873760/</x:v>
      </x:c>
      <x:c r="AK1091" s="9" t="str">
        <x:v>Live-action romance game, Jun21 2024; current Steam purchase and English support. Primary Steam Support confirms release/platform/language data; store page may need age gate. Primary source: https://store.steampowered.com/app/2873760/</x:v>
      </x:c>
      <x:c r="AL1091" s="10"/>
      <x:c r="AM1091" s="10"/>
      <x:c r="AN1091" s="10"/>
      <x:c r="AO1091" s="9"/>
      <x:c r="AP1091" s="11"/>
      <x:c r="AQ1091" s="9" t="n">
        <x:v>8.99</x:v>
      </x:c>
      <x:c r="AR1091" s="9" t="str">
        <x:v>Steam</x:v>
      </x:c>
      <x:c r="AS1091" s="9" t="str">
        <x:f>HYPERLINK("https://store.steampowered.com/app/2873760/","Store")</x:f>
        <x:v>Store</x:v>
      </x:c>
      <x:c r="AT1091" s="9" t="str">
        <x:v>2026-10-25</x:v>
      </x:c>
      <x:c r="AU1091" s="9"/>
      <x:c r="AV1091" s="9"/>
      <x:c r="AW1091" s="9"/>
      <x:c r="AX1091" s="9"/>
      <x:c r="AY1091" s="9"/>
      <x:c r="AZ1091" s="9"/>
      <x:c r="BA1091" s="11"/>
      <x:c r="BB1091" s="9"/>
      <x:c r="BC1091" s="9"/>
      <x:c r="BD1091" s="9"/>
      <x:c r="BE1091" s="9"/>
      <x:c r="BF1091" s="11" t="str">
        <x:f>HYPERLINK("https://backloggd.com/search/games/Beauties%21+They%27re+All+After+Me/","Backloggd")</x:f>
        <x:v>Backloggd</x:v>
      </x:c>
      <x:c r="BG1091" s="9"/>
      <x:c r="BH1091" s="9"/>
      <x:c r="BI1091" s="12" t="str">
        <x:v>No</x:v>
      </x:c>
      <x:c r="BJ1091" s="12" t="str"/>
      <x:c r="BK1091" s="12" t="str">
        <x:v>No</x:v>
      </x:c>
      <x:c r="BL1091" s="12" t="str"/>
      <x:c r="BM1091" s="12" t="str"/>
      <x:c r="BN1091" s="12" t="str"/>
      <x:c r="BO1091" s="12" t="str"/>
      <x:c r="BP1091" s="12" t="str"/>
      <x:c r="BQ1091" s="12" t="str"/>
    </x:row>
    <x:row r="1092">
      <x:c r="A1092" s="9" t="str">
        <x:v>pc-351</x:v>
      </x:c>
      <x:c r="B1092" s="9" t="str">
        <x:v>stay-dead</x:v>
      </x:c>
      <x:c r="C1092" s="9" t="str">
        <x:v>PC</x:v>
      </x:c>
      <x:c r="D1092" s="9" t="str">
        <x:v>Stay Dead</x:v>
      </x:c>
      <x:c r="E1092" s="9" t="str"/>
      <x:c r="F1092" s="9" t="str">
        <x:v>Brucefilm</x:v>
      </x:c>
      <x:c r="G1092" s="9" t="str">
        <x:v>Plug In Digital</x:v>
      </x:c>
      <x:c r="H1092" s="9" t="n">
        <x:v>2012</x:v>
      </x:c>
      <x:c r="I1092" s="9" t="str">
        <x:v>Yes</x:v>
      </x:c>
      <x:c r="J1092" s="9" t="str">
        <x:v>No</x:v>
      </x:c>
      <x:c r="K1092" s="9" t="str">
        <x:v>Yes</x:v>
      </x:c>
      <x:c r="L1092" s="9" t="str">
        <x:v>No</x:v>
      </x:c>
      <x:c r="M1092" s="9" t="str">
        <x:v>FMV fighting / rhythm game</x:v>
      </x:c>
      <x:c r="N1092" s="9" t="str">
        <x:v>Live-action</x:v>
      </x:c>
      <x:c r="O1092" s="9" t="n">
        <x:v>10</x:v>
      </x:c>
      <x:c r="P1092" s="9" t="str">
        <x:v>Interactive movie</x:v>
      </x:c>
      <x:c r="Q1092" s="9" t="str">
        <x:v>Released</x:v>
      </x:c>
      <x:c r="R1092" s="9" t="str">
        <x:v>Original production</x:v>
      </x:c>
      <x:c r="S1092" s="9" t="str">
        <x:v>Unknown — verify</x:v>
      </x:c>
      <x:c r="T1092" s="9" t="str">
        <x:v>Unknown — verify</x:v>
      </x:c>
      <x:c r="U1092" s="9" t="n">
        <x:v>0</x:v>
      </x:c>
      <x:c r="V1092" s="9" t="str">
        <x:v>Unknown — verify</x:v>
      </x:c>
      <x:c r="W1092" s="9" t="str">
        <x:v>Windows PC; see store requirements</x:v>
      </x:c>
      <x:c r="X1092" s="9" t="str">
        <x:v>Unknown</x:v>
      </x:c>
      <x:c r="Y1092" s="9" t="str"/>
      <x:c r="Z1092" s="9" t="str">
        <x:v>Unknown — verify</x:v>
      </x:c>
      <x:c r="AA1092" s="9" t="str">
        <x:v>Live-action movie footage controlled in a rhythm/fighting game; not real-time polygonal fighting.</x:v>
      </x:c>
      <x:c r="AB1092" s="9" t="str">
        <x:v>Unknown — verify</x:v>
      </x:c>
      <x:c r="AC1092" s="9" t="str">
        <x:v>Filmed live-action fights with timed real-time inputs inside the video scene.</x:v>
      </x:c>
      <x:c r="AD1092" s="9" t="str">
        <x:v>Unknown — verify</x:v>
      </x:c>
      <x:c r="AE1092" s="9" t="str">
        <x:v>Unknown — verify</x:v>
      </x:c>
      <x:c r="AF1092" s="9" t="str"/>
      <x:c r="AG1092" s="9" t="str"/>
      <x:c r="AH1092" s="9" t="str">
        <x:v>Yes (Steam: Stay Dead Evolution, 2015 revision)</x:v>
      </x:c>
      <x:c r="AI1092" s="9" t="str">
        <x:v>Easy</x:v>
      </x:c>
      <x:c r="AJ1092" s="9" t="str">
        <x:v>Steam: https://store.steampowered.com/app/341070/Stay_Dead_Evolution/</x:v>
      </x:c>
      <x:c r="AK1092" s="9" t="str">
        <x:v>Live-action movie footage controlled in a rhythm/fighting game; not real-time polygonal fighting. Released Feb4 2015. Publisher Plug In Digital. Windows. Primary source: https://store.steampowered.com/app/341070/Stay_Dead_Evolution/ Original Stay Dead released in 2012 per the Evolution store description; 2015 is the revision, not the first release.</x:v>
      </x:c>
      <x:c r="AL1092" s="10"/>
      <x:c r="AM1092" s="10"/>
      <x:c r="AN1092" s="10"/>
      <x:c r="AO1092" s="9"/>
      <x:c r="AP1092" s="11"/>
      <x:c r="AQ1092" s="9" t="n">
        <x:v>5.99</x:v>
      </x:c>
      <x:c r="AR1092" s="9" t="str">
        <x:v>Steam</x:v>
      </x:c>
      <x:c r="AS1092" s="9" t="str">
        <x:f>HYPERLINK("https://store.steampowered.com/app/341070/","Store")</x:f>
        <x:v>Store</x:v>
      </x:c>
      <x:c r="AT1092" s="9" t="str">
        <x:v>2026-10-25</x:v>
      </x:c>
      <x:c r="AU1092" s="9"/>
      <x:c r="AV1092" s="9"/>
      <x:c r="AW1092" s="9"/>
      <x:c r="AX1092" s="9"/>
      <x:c r="AY1092" s="9"/>
      <x:c r="AZ1092" s="9"/>
      <x:c r="BA1092" s="11"/>
      <x:c r="BB1092" s="9"/>
      <x:c r="BC1092" s="9"/>
      <x:c r="BD1092" s="9"/>
      <x:c r="BE1092" s="9"/>
      <x:c r="BF1092" s="11" t="str">
        <x:f>HYPERLINK("https://backloggd.com/search/games/Stay+Dead/","Backloggd")</x:f>
        <x:v>Backloggd</x:v>
      </x:c>
      <x:c r="BG1092" s="9"/>
      <x:c r="BH1092" s="9"/>
      <x:c r="BI1092" s="12" t="str">
        <x:v>No</x:v>
      </x:c>
      <x:c r="BJ1092" s="12" t="str"/>
      <x:c r="BK1092" s="12" t="str">
        <x:v>No</x:v>
      </x:c>
      <x:c r="BL1092" s="12" t="str"/>
      <x:c r="BM1092" s="12" t="str"/>
      <x:c r="BN1092" s="12" t="str"/>
      <x:c r="BO1092" s="12" t="str"/>
      <x:c r="BP1092" s="12" t="str"/>
      <x:c r="BQ1092" s="12" t="str"/>
    </x:row>
  </x:sheetData>
  <x:autoFilter ref="A1:BQ1092"/>
  <x:conditionalFormatting sqref="O2:O1092">
    <x:cfRule type="colorScale" priority="1">
      <x:colorScale>
        <x:cfvo type="num" val="0"/>
        <x:cfvo type="num" val="5"/>
        <x:cfvo type="num" val="10"/>
        <x:color rgb="00F8CBAD"/>
        <x:color rgb="00FFE699"/>
        <x:color rgb="00A9D08E"/>
      </x:colorScale>
    </x:cfRule>
  </x:conditionalFormatting>
  <x:conditionalFormatting sqref="X2:X1092">
    <x:cfRule type="cellIs" dxfId="0" priority="2" operator="equal">
      <x:formula>"HIGH"</x:formula>
    </x:cfRule>
  </x:conditionalFormatting>
  <x:conditionalFormatting sqref="BI2:BI1092">
    <x:cfRule type="cellIs" dxfId="1" priority="3" operator="equal">
      <x:formula>"Yes"</x:formula>
    </x:cfRule>
  </x:conditionalFormatting>
  <x:pageMargins left="0.7" right="0.7" top="0.75" bottom="0.75" header="0.3" footer="0.3"/>
</x:worksheet>
</file>